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mc:AlternateContent xmlns:mc="http://schemas.openxmlformats.org/markup-compatibility/2006">
    <mc:Choice Requires="x15">
      <x15ac:absPath xmlns:x15ac="http://schemas.microsoft.com/office/spreadsheetml/2010/11/ac" url="https://qreditsmicrofinanciering.sharepoint.com/sites/it/Gedeelde documenten/17 - Sjablonen (Andreas)/Ondernemingsplan/UniCredit/"/>
    </mc:Choice>
  </mc:AlternateContent>
  <xr:revisionPtr revIDLastSave="0" documentId="8_{F5F87628-DF52-414B-A26E-791FF906651B}" xr6:coauthVersionLast="45" xr6:coauthVersionMax="45" xr10:uidLastSave="{00000000-0000-0000-0000-000000000000}"/>
  <bookViews>
    <workbookView xWindow="28680" yWindow="-120" windowWidth="29040" windowHeight="15840" tabRatio="866" xr2:uid="{00000000-000D-0000-FFFF-FFFF00000000}"/>
  </bookViews>
  <sheets>
    <sheet name="Introduzione" sheetId="23" r:id="rId1"/>
    <sheet name="Le mie risposte" sheetId="6" r:id="rId2"/>
    <sheet name="Previsione di investimento" sheetId="2" r:id="rId3"/>
    <sheet name="Previsione di liquidità" sheetId="3" r:id="rId4"/>
    <sheet name="Previsione di gestione" sheetId="4" r:id="rId5"/>
    <sheet name="Oneri mensili" sheetId="5" r:id="rId6"/>
    <sheet name="Vertaling" sheetId="22" state="hidden" r:id="rId7"/>
    <sheet name="Schema" sheetId="21" state="hidden" r:id="rId8"/>
    <sheet name="DATA" sheetId="24" state="hidden" r:id="rId9"/>
    <sheet name="dropdowns" sheetId="18" state="hidden" r:id="rId10"/>
    <sheet name="IB" sheetId="19" state="hidden" r:id="rId11"/>
  </sheets>
  <externalReferences>
    <externalReference r:id="rId12"/>
  </externalReferences>
  <definedNames>
    <definedName name="_xlnm._FilterDatabase" localSheetId="6" hidden="1">Vertaling!$A$1:$F$314</definedName>
    <definedName name="_xlnm.Print_Area" localSheetId="0">Introduzione!$A$1:$C$23</definedName>
    <definedName name="_xlnm.Print_Area" localSheetId="1">'Le mie risposte'!$A$1:$G$346</definedName>
    <definedName name="_xlnm.Print_Area" localSheetId="5">'Oneri mensili'!$A$1:$P$77</definedName>
    <definedName name="_xlnm.Print_Area" localSheetId="4">'Previsione di gestione'!$A$1:$H$47</definedName>
    <definedName name="_xlnm.Print_Area" localSheetId="2">'Previsione di investimento'!$A$1:$J$30</definedName>
    <definedName name="_xlnm.Print_Area" localSheetId="3">'Previsione di liquidità'!$A$1:$Q$45</definedName>
    <definedName name="_xlnm.Print_Titles" localSheetId="1">'Le mie risposte'!$1:$1</definedName>
    <definedName name="_xlnm.Print_Titles" localSheetId="5">'Oneri mensili'!$1:$1</definedName>
    <definedName name="Aflosmethode" localSheetId="8">[1]dropdowns!$B$187:$B$188</definedName>
    <definedName name="Aflosmethode">dropdowns!$B$185:$B$186</definedName>
    <definedName name="ANNUITEITBEDRAG" localSheetId="8">OFFSET('[1]Cuadro amortización Oportunitas'!$B$17,0,'[1]Cuadro amortización Oportunitas'!$C$11,2,1)</definedName>
    <definedName name="ANNUITEITBEDRAG">OFFSET('Oneri mensili'!$B$17,0,'Oneri mensili'!$C$11,2,1)</definedName>
    <definedName name="Betalen">dropdowns!$B$8:$B$11</definedName>
    <definedName name="BTW">dropdowns!$B$54:$B$57</definedName>
    <definedName name="Cashflow_met_kosten" localSheetId="8">OFFSET([1]Schema!$M$9,0,0,'[1]Cuadro amortización Oportunitas'!$C$4+1,1)</definedName>
    <definedName name="Cashflow_met_kosten">OFFSET(Schema!$M$9,0,0,'Oneri mensili'!$C$4+1,1)</definedName>
    <definedName name="Cashflow_zonder_kosten" localSheetId="8">OFFSET([1]Schema!$L$9,0,0,'[1]Cuadro amortización Oportunitas'!$C$4+1,1)</definedName>
    <definedName name="Cashflow_zonder_kosten">OFFSET(Schema!$L$9,0,0,'Oneri mensili'!$C$4+1,1)</definedName>
    <definedName name="Datums" localSheetId="8">OFFSET([1]Schema!$C$9,0,0,'[1]Cuadro amortización Oportunitas'!$C$4+1,1)</definedName>
    <definedName name="Datums">OFFSET(Schema!$C$9,0,0,'Oneri mensili'!$C$4+1,1)</definedName>
    <definedName name="Graceperiod">dropdowns!$B$143:$B$151</definedName>
    <definedName name="Inbreng">dropdowns!$B$75:$B$76</definedName>
    <definedName name="Ja_Nee" localSheetId="8">[1]dropdowns!$B$2:$B$3</definedName>
    <definedName name="Ja_Nee">dropdowns!$B$2:$B$3</definedName>
    <definedName name="Looptijd">dropdowns!$B$79:$B$82</definedName>
    <definedName name="Maanden6">dropdowns!$B$26:$B$32</definedName>
    <definedName name="Meewerkaftrek">dropdowns!$B$135:$B$140</definedName>
    <definedName name="Ondernemers">dropdowns!$B$180:$B$181</definedName>
    <definedName name="Periodiek">dropdowns!$B$14:$B$19</definedName>
    <definedName name="Periodiek2">dropdowns!$B$22:$B$23</definedName>
    <definedName name="Rechtsvorm">dropdowns!$B$174:$B$176</definedName>
    <definedName name="Uitkering">dropdowns!$B$112:$B$120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5" i="23" l="1"/>
  <c r="F167" i="6" l="1"/>
  <c r="G76" i="21" l="1"/>
  <c r="G77" i="21"/>
  <c r="G78" i="21"/>
  <c r="G79" i="21"/>
  <c r="G80" i="21"/>
  <c r="G81" i="21"/>
  <c r="G82" i="21"/>
  <c r="G83" i="21"/>
  <c r="G84" i="21"/>
  <c r="G85" i="21"/>
  <c r="G86" i="21"/>
  <c r="G87" i="21"/>
  <c r="G88" i="21"/>
  <c r="G89" i="21"/>
  <c r="G90" i="21"/>
  <c r="G91" i="21"/>
  <c r="G92" i="21"/>
  <c r="G93" i="21"/>
  <c r="G94" i="21"/>
  <c r="G95" i="21"/>
  <c r="G96" i="21"/>
  <c r="G97" i="21"/>
  <c r="G98" i="21"/>
  <c r="G99" i="21"/>
  <c r="G100" i="21"/>
  <c r="G101" i="21"/>
  <c r="G102" i="21"/>
  <c r="G103" i="21"/>
  <c r="G104" i="21"/>
  <c r="G105" i="21"/>
  <c r="G106" i="21"/>
  <c r="G107" i="21"/>
  <c r="G108" i="21"/>
  <c r="G109" i="21"/>
  <c r="G110" i="21"/>
  <c r="G111" i="21"/>
  <c r="G112" i="21"/>
  <c r="G113" i="21"/>
  <c r="G114" i="21"/>
  <c r="G115" i="21"/>
  <c r="G116" i="21"/>
  <c r="G117" i="21"/>
  <c r="G118" i="21"/>
  <c r="G119" i="21"/>
  <c r="G120" i="21"/>
  <c r="G121" i="21"/>
  <c r="G122" i="21"/>
  <c r="G123" i="21"/>
  <c r="G124" i="21"/>
  <c r="G125" i="21"/>
  <c r="G126" i="21"/>
  <c r="G127" i="21"/>
  <c r="G128" i="21"/>
  <c r="G129" i="21"/>
  <c r="G130" i="21"/>
  <c r="G131" i="21"/>
  <c r="G132" i="21"/>
  <c r="G133" i="21"/>
  <c r="G134" i="21"/>
  <c r="G135" i="21"/>
  <c r="G136" i="21"/>
  <c r="G137" i="21"/>
  <c r="G138" i="21"/>
  <c r="G139" i="21"/>
  <c r="G140" i="21"/>
  <c r="G141" i="21"/>
  <c r="G142" i="21"/>
  <c r="G143" i="21"/>
  <c r="G144" i="21"/>
  <c r="G145" i="21"/>
  <c r="G146" i="21"/>
  <c r="G147" i="21"/>
  <c r="G148" i="21"/>
  <c r="G149" i="21"/>
  <c r="G150" i="21"/>
  <c r="G151" i="21"/>
  <c r="G152" i="21"/>
  <c r="G153" i="21"/>
  <c r="G154" i="21"/>
  <c r="G155" i="21"/>
  <c r="G156" i="21"/>
  <c r="G157" i="21"/>
  <c r="G158" i="21"/>
  <c r="G159" i="21"/>
  <c r="G160" i="21"/>
  <c r="G161" i="21"/>
  <c r="G162" i="21"/>
  <c r="G163" i="21"/>
  <c r="G164" i="21"/>
  <c r="G165" i="21"/>
  <c r="G166" i="21"/>
  <c r="G167" i="21"/>
  <c r="G168" i="21"/>
  <c r="G169" i="21"/>
  <c r="G170" i="21"/>
  <c r="G171" i="21"/>
  <c r="G172" i="21"/>
  <c r="G173" i="21"/>
  <c r="G174" i="21"/>
  <c r="G175" i="21"/>
  <c r="G176" i="21"/>
  <c r="G177" i="21"/>
  <c r="G178" i="21"/>
  <c r="G179" i="21"/>
  <c r="G180" i="21"/>
  <c r="G181" i="21"/>
  <c r="G182" i="21"/>
  <c r="G183" i="21"/>
  <c r="G184" i="21"/>
  <c r="G185" i="21"/>
  <c r="G186" i="21"/>
  <c r="G187" i="21"/>
  <c r="G188" i="21"/>
  <c r="G189" i="21"/>
  <c r="G190" i="21"/>
  <c r="G191" i="21"/>
  <c r="G192" i="21"/>
  <c r="G193" i="21"/>
  <c r="G194" i="21"/>
  <c r="G195" i="21"/>
  <c r="G196" i="21"/>
  <c r="G197" i="21"/>
  <c r="G198" i="21"/>
  <c r="G199" i="21"/>
  <c r="G200" i="21"/>
  <c r="G201" i="21"/>
  <c r="G202" i="21"/>
  <c r="G203" i="21"/>
  <c r="G204" i="21"/>
  <c r="G205" i="21"/>
  <c r="G206" i="21"/>
  <c r="G207" i="21"/>
  <c r="G208" i="21"/>
  <c r="G209" i="21"/>
  <c r="G210" i="21"/>
  <c r="G211" i="21"/>
  <c r="G212" i="21"/>
  <c r="G213" i="21"/>
  <c r="G214" i="21"/>
  <c r="G215" i="21"/>
  <c r="G216" i="21"/>
  <c r="G217" i="21"/>
  <c r="G218" i="21"/>
  <c r="G219" i="21"/>
  <c r="G220" i="21"/>
  <c r="G221" i="21"/>
  <c r="G222" i="21"/>
  <c r="G223" i="21"/>
  <c r="G224" i="21"/>
  <c r="G225" i="21"/>
  <c r="G226" i="21"/>
  <c r="G227" i="21"/>
  <c r="G228" i="21"/>
  <c r="G229" i="21"/>
  <c r="G230" i="21"/>
  <c r="G231" i="21"/>
  <c r="G232" i="21"/>
  <c r="G233" i="21"/>
  <c r="G234" i="21"/>
  <c r="G235" i="21"/>
  <c r="G236" i="21"/>
  <c r="G237" i="21"/>
  <c r="G238" i="21"/>
  <c r="G239" i="21"/>
  <c r="G240" i="21"/>
  <c r="G241" i="21"/>
  <c r="G242" i="21"/>
  <c r="G243" i="21"/>
  <c r="G244" i="21"/>
  <c r="G245" i="21"/>
  <c r="G246" i="21"/>
  <c r="G247" i="21"/>
  <c r="G248" i="21"/>
  <c r="G249" i="21"/>
  <c r="G250" i="21"/>
  <c r="G251" i="21"/>
  <c r="G252" i="21"/>
  <c r="G253" i="21"/>
  <c r="G254" i="21"/>
  <c r="G255" i="21"/>
  <c r="G256" i="21"/>
  <c r="G257" i="21"/>
  <c r="G258" i="21"/>
  <c r="G259" i="21"/>
  <c r="G260" i="21"/>
  <c r="G261" i="21"/>
  <c r="G262" i="21"/>
  <c r="G263" i="21"/>
  <c r="G264" i="21"/>
  <c r="G265" i="21"/>
  <c r="G266" i="21"/>
  <c r="G267" i="21"/>
  <c r="G268" i="21"/>
  <c r="G269" i="21"/>
  <c r="G270" i="21"/>
  <c r="G271" i="21"/>
  <c r="G272" i="21"/>
  <c r="G273" i="21"/>
  <c r="G274" i="21"/>
  <c r="G275" i="21"/>
  <c r="G276" i="21"/>
  <c r="G277" i="21"/>
  <c r="G278" i="21"/>
  <c r="G279" i="21"/>
  <c r="G280" i="21"/>
  <c r="G281" i="21"/>
  <c r="G282" i="21"/>
  <c r="G283" i="21"/>
  <c r="G284" i="21"/>
  <c r="G285" i="21"/>
  <c r="G286" i="21"/>
  <c r="G287" i="21"/>
  <c r="G288" i="21"/>
  <c r="G289" i="21"/>
  <c r="G290" i="21"/>
  <c r="G291" i="21"/>
  <c r="G292" i="21"/>
  <c r="G293" i="21"/>
  <c r="G294" i="21"/>
  <c r="G295" i="21"/>
  <c r="G296" i="21"/>
  <c r="G297" i="21"/>
  <c r="G298" i="21"/>
  <c r="G299" i="21"/>
  <c r="G300" i="21"/>
  <c r="G301" i="21"/>
  <c r="G302" i="21"/>
  <c r="G303" i="21"/>
  <c r="G304" i="21"/>
  <c r="G305" i="21"/>
  <c r="G306" i="21"/>
  <c r="G307" i="21"/>
  <c r="G308" i="21"/>
  <c r="G309" i="21"/>
  <c r="G310" i="21"/>
  <c r="G311" i="21"/>
  <c r="G312" i="21"/>
  <c r="G313" i="21"/>
  <c r="G314" i="21"/>
  <c r="G315" i="21"/>
  <c r="G316" i="21"/>
  <c r="G317" i="21"/>
  <c r="G318" i="21"/>
  <c r="G319" i="21"/>
  <c r="G320" i="21"/>
  <c r="G321" i="21"/>
  <c r="G322" i="21"/>
  <c r="G323" i="21"/>
  <c r="G324" i="21"/>
  <c r="G325" i="21"/>
  <c r="G326" i="21"/>
  <c r="G327" i="21"/>
  <c r="G328" i="21"/>
  <c r="G329" i="21"/>
  <c r="G330" i="21"/>
  <c r="G331" i="21"/>
  <c r="G332" i="21"/>
  <c r="G333" i="21"/>
  <c r="G334" i="21"/>
  <c r="G335" i="21"/>
  <c r="G336" i="21"/>
  <c r="G337" i="21"/>
  <c r="G338" i="21"/>
  <c r="G339" i="21"/>
  <c r="G340" i="21"/>
  <c r="G341" i="21"/>
  <c r="G342" i="21"/>
  <c r="G343" i="21"/>
  <c r="G344" i="21"/>
  <c r="G345" i="21"/>
  <c r="G346" i="21"/>
  <c r="G347" i="21"/>
  <c r="G348" i="21"/>
  <c r="G349" i="21"/>
  <c r="G350" i="21"/>
  <c r="G351" i="21"/>
  <c r="G352" i="21"/>
  <c r="G353" i="21"/>
  <c r="G354" i="21"/>
  <c r="G355" i="21"/>
  <c r="G356" i="21"/>
  <c r="G357" i="21"/>
  <c r="G358" i="21"/>
  <c r="G359" i="21"/>
  <c r="G360" i="21"/>
  <c r="G361" i="21"/>
  <c r="G362" i="21"/>
  <c r="G363" i="21"/>
  <c r="G364" i="21"/>
  <c r="G365" i="21"/>
  <c r="G366" i="21"/>
  <c r="G367" i="21"/>
  <c r="G368" i="21"/>
  <c r="G369" i="21"/>
  <c r="F92" i="6"/>
  <c r="F94" i="6"/>
  <c r="J10" i="21"/>
  <c r="J11" i="21"/>
  <c r="J12" i="21"/>
  <c r="J13" i="21"/>
  <c r="J14" i="21"/>
  <c r="J15" i="21"/>
  <c r="J76" i="21"/>
  <c r="J77" i="21"/>
  <c r="J78" i="21"/>
  <c r="J79" i="21"/>
  <c r="J80" i="21"/>
  <c r="J81" i="21"/>
  <c r="J82" i="21"/>
  <c r="J83" i="21"/>
  <c r="J84" i="21"/>
  <c r="J85" i="21"/>
  <c r="J86" i="21"/>
  <c r="J87" i="21"/>
  <c r="J88" i="21"/>
  <c r="J89" i="21"/>
  <c r="J90" i="21"/>
  <c r="J91" i="21"/>
  <c r="J92" i="21"/>
  <c r="J93" i="21"/>
  <c r="J94" i="21"/>
  <c r="J95" i="21"/>
  <c r="J96" i="21"/>
  <c r="J97" i="21"/>
  <c r="J98" i="21"/>
  <c r="J99" i="21"/>
  <c r="J100" i="21"/>
  <c r="J101" i="21"/>
  <c r="J102" i="21"/>
  <c r="J103" i="21"/>
  <c r="J104" i="21"/>
  <c r="J105" i="21"/>
  <c r="J106" i="21"/>
  <c r="J107" i="21"/>
  <c r="J108" i="21"/>
  <c r="J109" i="21"/>
  <c r="J110" i="21"/>
  <c r="J111" i="21"/>
  <c r="J112" i="21"/>
  <c r="J113" i="21"/>
  <c r="J114" i="21"/>
  <c r="J115" i="21"/>
  <c r="J116" i="21"/>
  <c r="J117" i="21"/>
  <c r="J118" i="21"/>
  <c r="J119" i="21"/>
  <c r="J120" i="21"/>
  <c r="J121" i="21"/>
  <c r="J122" i="21"/>
  <c r="J123" i="21"/>
  <c r="J124" i="21"/>
  <c r="J125" i="21"/>
  <c r="J126" i="21"/>
  <c r="J127" i="21"/>
  <c r="J128" i="21"/>
  <c r="J129" i="21"/>
  <c r="J130" i="21"/>
  <c r="J131" i="21"/>
  <c r="J132" i="21"/>
  <c r="J133" i="21"/>
  <c r="J134" i="21"/>
  <c r="J135" i="21"/>
  <c r="J136" i="21"/>
  <c r="J137" i="21"/>
  <c r="J138" i="21"/>
  <c r="J139" i="21"/>
  <c r="J140" i="21"/>
  <c r="J141" i="21"/>
  <c r="J142" i="21"/>
  <c r="J143" i="21"/>
  <c r="J144" i="21"/>
  <c r="J145" i="21"/>
  <c r="J146" i="21"/>
  <c r="J147" i="21"/>
  <c r="J148" i="21"/>
  <c r="J149" i="21"/>
  <c r="J150" i="21"/>
  <c r="J151" i="21"/>
  <c r="J152" i="21"/>
  <c r="J153" i="21"/>
  <c r="J154" i="21"/>
  <c r="J155" i="21"/>
  <c r="J156" i="21"/>
  <c r="J157" i="21"/>
  <c r="J158" i="21"/>
  <c r="J159" i="21"/>
  <c r="J160" i="21"/>
  <c r="J161" i="21"/>
  <c r="J162" i="21"/>
  <c r="J163" i="21"/>
  <c r="J164" i="21"/>
  <c r="J165" i="21"/>
  <c r="J166" i="21"/>
  <c r="J167" i="21"/>
  <c r="J168" i="21"/>
  <c r="J169" i="21"/>
  <c r="J170" i="21"/>
  <c r="J171" i="21"/>
  <c r="J172" i="21"/>
  <c r="J173" i="21"/>
  <c r="J174" i="21"/>
  <c r="J175" i="21"/>
  <c r="J176" i="21"/>
  <c r="J177" i="21"/>
  <c r="J178" i="21"/>
  <c r="J179" i="21"/>
  <c r="J180" i="21"/>
  <c r="J181" i="21"/>
  <c r="J182" i="21"/>
  <c r="J183" i="21"/>
  <c r="J184" i="21"/>
  <c r="J185" i="21"/>
  <c r="J186" i="21"/>
  <c r="J187" i="21"/>
  <c r="J188" i="21"/>
  <c r="J189" i="21"/>
  <c r="J190" i="21"/>
  <c r="J191" i="21"/>
  <c r="J192" i="21"/>
  <c r="J193" i="21"/>
  <c r="J194" i="21"/>
  <c r="J195" i="21"/>
  <c r="J196" i="21"/>
  <c r="J197" i="21"/>
  <c r="J198" i="21"/>
  <c r="J199" i="21"/>
  <c r="J200" i="21"/>
  <c r="J201" i="21"/>
  <c r="J202" i="21"/>
  <c r="J203" i="21"/>
  <c r="J204" i="21"/>
  <c r="J205" i="21"/>
  <c r="J206" i="21"/>
  <c r="J207" i="21"/>
  <c r="J208" i="21"/>
  <c r="J209" i="21"/>
  <c r="J210" i="21"/>
  <c r="J211" i="21"/>
  <c r="J212" i="21"/>
  <c r="J213" i="21"/>
  <c r="J214" i="21"/>
  <c r="J215" i="21"/>
  <c r="J216" i="21"/>
  <c r="J217" i="21"/>
  <c r="J218" i="21"/>
  <c r="J219" i="21"/>
  <c r="J220" i="21"/>
  <c r="J221" i="21"/>
  <c r="J222" i="21"/>
  <c r="J223" i="21"/>
  <c r="J224" i="21"/>
  <c r="J225" i="21"/>
  <c r="J226" i="21"/>
  <c r="J227" i="21"/>
  <c r="J228" i="21"/>
  <c r="J229" i="21"/>
  <c r="J230" i="21"/>
  <c r="J231" i="21"/>
  <c r="J232" i="21"/>
  <c r="J233" i="21"/>
  <c r="J234" i="21"/>
  <c r="J235" i="21"/>
  <c r="J236" i="21"/>
  <c r="J237" i="21"/>
  <c r="J238" i="21"/>
  <c r="J239" i="21"/>
  <c r="J240" i="21"/>
  <c r="J241" i="21"/>
  <c r="J242" i="21"/>
  <c r="J243" i="21"/>
  <c r="J244" i="21"/>
  <c r="J245" i="21"/>
  <c r="J246" i="21"/>
  <c r="J247" i="21"/>
  <c r="J248" i="21"/>
  <c r="J249" i="21"/>
  <c r="J250" i="21"/>
  <c r="J251" i="21"/>
  <c r="J252" i="21"/>
  <c r="J253" i="21"/>
  <c r="J254" i="21"/>
  <c r="J255" i="21"/>
  <c r="J256" i="21"/>
  <c r="J257" i="21"/>
  <c r="J258" i="21"/>
  <c r="J259" i="21"/>
  <c r="J260" i="21"/>
  <c r="J261" i="21"/>
  <c r="J262" i="21"/>
  <c r="J263" i="21"/>
  <c r="J264" i="21"/>
  <c r="J265" i="21"/>
  <c r="J266" i="21"/>
  <c r="J267" i="21"/>
  <c r="J268" i="21"/>
  <c r="J269" i="21"/>
  <c r="J270" i="21"/>
  <c r="J271" i="21"/>
  <c r="J272" i="21"/>
  <c r="J273" i="21"/>
  <c r="J274" i="21"/>
  <c r="J275" i="21"/>
  <c r="J276" i="21"/>
  <c r="J277" i="21"/>
  <c r="J278" i="21"/>
  <c r="J279" i="21"/>
  <c r="J280" i="21"/>
  <c r="J281" i="21"/>
  <c r="J282" i="21"/>
  <c r="J283" i="21"/>
  <c r="J284" i="21"/>
  <c r="J285" i="21"/>
  <c r="J286" i="21"/>
  <c r="J287" i="21"/>
  <c r="J288" i="21"/>
  <c r="J289" i="21"/>
  <c r="J290" i="21"/>
  <c r="J291" i="21"/>
  <c r="J292" i="21"/>
  <c r="J293" i="21"/>
  <c r="J294" i="21"/>
  <c r="J295" i="21"/>
  <c r="J296" i="21"/>
  <c r="J297" i="21"/>
  <c r="J298" i="21"/>
  <c r="J299" i="21"/>
  <c r="J300" i="21"/>
  <c r="J301" i="21"/>
  <c r="J302" i="21"/>
  <c r="J303" i="21"/>
  <c r="J304" i="21"/>
  <c r="J305" i="21"/>
  <c r="J306" i="21"/>
  <c r="J307" i="21"/>
  <c r="J308" i="21"/>
  <c r="J309" i="21"/>
  <c r="J310" i="21"/>
  <c r="J311" i="21"/>
  <c r="J312" i="21"/>
  <c r="J313" i="21"/>
  <c r="J314" i="21"/>
  <c r="J315" i="21"/>
  <c r="J316" i="21"/>
  <c r="J317" i="21"/>
  <c r="J318" i="21"/>
  <c r="J319" i="21"/>
  <c r="J320" i="21"/>
  <c r="J321" i="21"/>
  <c r="J322" i="21"/>
  <c r="J323" i="21"/>
  <c r="J324" i="21"/>
  <c r="J325" i="21"/>
  <c r="J326" i="21"/>
  <c r="J327" i="21"/>
  <c r="J328" i="21"/>
  <c r="J329" i="21"/>
  <c r="J330" i="21"/>
  <c r="J331" i="21"/>
  <c r="J332" i="21"/>
  <c r="J333" i="21"/>
  <c r="J334" i="21"/>
  <c r="J335" i="21"/>
  <c r="J336" i="21"/>
  <c r="J337" i="21"/>
  <c r="J338" i="21"/>
  <c r="J339" i="21"/>
  <c r="J340" i="21"/>
  <c r="J341" i="21"/>
  <c r="J342" i="21"/>
  <c r="J343" i="21"/>
  <c r="J344" i="21"/>
  <c r="J345" i="21"/>
  <c r="J346" i="21"/>
  <c r="J347" i="21"/>
  <c r="J348" i="21"/>
  <c r="J349" i="21"/>
  <c r="J350" i="21"/>
  <c r="J351" i="21"/>
  <c r="J352" i="21"/>
  <c r="J353" i="21"/>
  <c r="J354" i="21"/>
  <c r="J355" i="21"/>
  <c r="J356" i="21"/>
  <c r="J357" i="21"/>
  <c r="J358" i="21"/>
  <c r="J359" i="21"/>
  <c r="J360" i="21"/>
  <c r="J361" i="21"/>
  <c r="J362" i="21"/>
  <c r="J363" i="21"/>
  <c r="J364" i="21"/>
  <c r="J365" i="21"/>
  <c r="J366" i="21"/>
  <c r="J367" i="21"/>
  <c r="J368" i="21"/>
  <c r="J369" i="21"/>
  <c r="B59" i="24"/>
  <c r="D257" i="6"/>
  <c r="B342" i="22" l="1"/>
  <c r="G9" i="5" s="1"/>
  <c r="F253" i="6" l="1"/>
  <c r="F171" i="6"/>
  <c r="D253" i="6"/>
  <c r="D171" i="6"/>
  <c r="D7" i="6"/>
  <c r="P124" i="3" l="1"/>
  <c r="P79" i="3"/>
  <c r="M79" i="3" s="1"/>
  <c r="P36" i="3"/>
  <c r="F113" i="3"/>
  <c r="D259" i="6"/>
  <c r="O79" i="3"/>
  <c r="N79" i="3"/>
  <c r="L79" i="3"/>
  <c r="K79" i="3"/>
  <c r="J79" i="3"/>
  <c r="H79" i="3"/>
  <c r="G79" i="3"/>
  <c r="F79" i="3"/>
  <c r="D79" i="3"/>
  <c r="O124" i="3"/>
  <c r="E79" i="3" l="1"/>
  <c r="I79" i="3"/>
  <c r="D124" i="3"/>
  <c r="H124" i="3"/>
  <c r="L124" i="3"/>
  <c r="E124" i="3"/>
  <c r="I124" i="3"/>
  <c r="M124" i="3"/>
  <c r="F124" i="3"/>
  <c r="J124" i="3"/>
  <c r="N124" i="3"/>
  <c r="G124" i="3"/>
  <c r="K124" i="3"/>
  <c r="F257" i="6"/>
  <c r="B15" i="19" l="1"/>
  <c r="C15" i="19"/>
  <c r="D15" i="19"/>
  <c r="E15" i="19"/>
  <c r="F15" i="19"/>
  <c r="B20" i="19"/>
  <c r="C20" i="19"/>
  <c r="D20" i="19"/>
  <c r="E20" i="19"/>
  <c r="F20" i="19"/>
  <c r="E21" i="19"/>
  <c r="E16" i="19"/>
  <c r="B16" i="19"/>
  <c r="C16" i="19"/>
  <c r="D16" i="19"/>
  <c r="B21" i="19"/>
  <c r="C21" i="19"/>
  <c r="D21" i="19"/>
  <c r="F98" i="6" l="1"/>
  <c r="F104" i="6"/>
  <c r="F96" i="6"/>
  <c r="C26" i="2" l="1"/>
  <c r="C24" i="2" l="1"/>
  <c r="U58" i="19" l="1"/>
  <c r="T58" i="19"/>
  <c r="K58" i="19"/>
  <c r="Q58" i="19" s="1"/>
  <c r="U57" i="19"/>
  <c r="T57" i="19"/>
  <c r="R57" i="19"/>
  <c r="Q57" i="19"/>
  <c r="K57" i="19"/>
  <c r="U56" i="19"/>
  <c r="T56" i="19"/>
  <c r="R56" i="19"/>
  <c r="K56" i="19"/>
  <c r="Q56" i="19" s="1"/>
  <c r="U55" i="19"/>
  <c r="T55" i="19"/>
  <c r="R55" i="19"/>
  <c r="K55" i="19"/>
  <c r="Q55" i="19" s="1"/>
  <c r="U54" i="19"/>
  <c r="T54" i="19"/>
  <c r="R54" i="19"/>
  <c r="Q54" i="19"/>
  <c r="Q51" i="19"/>
  <c r="U49" i="19"/>
  <c r="T49" i="19"/>
  <c r="K49" i="19"/>
  <c r="Q49" i="19" s="1"/>
  <c r="U48" i="19"/>
  <c r="T48" i="19"/>
  <c r="R48" i="19"/>
  <c r="Q48" i="19"/>
  <c r="K48" i="19"/>
  <c r="U47" i="19"/>
  <c r="T47" i="19"/>
  <c r="R47" i="19"/>
  <c r="Q47" i="19"/>
  <c r="Q44" i="19"/>
  <c r="S42" i="19"/>
  <c r="R42" i="19"/>
  <c r="Q42" i="19"/>
  <c r="Q39" i="19"/>
  <c r="S37" i="19"/>
  <c r="Q37" i="19"/>
  <c r="Q34" i="19"/>
  <c r="S32" i="19"/>
  <c r="K32" i="19"/>
  <c r="Q32" i="19" s="1"/>
  <c r="S31" i="19"/>
  <c r="R31" i="19"/>
  <c r="Q31" i="19"/>
  <c r="K31" i="19"/>
  <c r="S30" i="19"/>
  <c r="R30" i="19"/>
  <c r="K30" i="19"/>
  <c r="Q30" i="19" s="1"/>
  <c r="S29" i="19"/>
  <c r="R29" i="19"/>
  <c r="K29" i="19"/>
  <c r="Q29" i="19" s="1"/>
  <c r="S28" i="19"/>
  <c r="R28" i="19"/>
  <c r="Q28" i="19"/>
  <c r="Q25" i="19"/>
  <c r="S23" i="19"/>
  <c r="K23" i="19"/>
  <c r="Q23" i="19" s="1"/>
  <c r="S22" i="19"/>
  <c r="R22" i="19"/>
  <c r="K22" i="19"/>
  <c r="Q22" i="19" s="1"/>
  <c r="S21" i="19"/>
  <c r="R21" i="19"/>
  <c r="K21" i="19"/>
  <c r="Q21" i="19" s="1"/>
  <c r="S20" i="19"/>
  <c r="R20" i="19"/>
  <c r="K20" i="19"/>
  <c r="Q20" i="19" s="1"/>
  <c r="S19" i="19"/>
  <c r="R19" i="19"/>
  <c r="Q19" i="19"/>
  <c r="Q16" i="19"/>
  <c r="S14" i="19"/>
  <c r="Q14" i="19"/>
  <c r="Q11" i="19"/>
  <c r="S9" i="19"/>
  <c r="Q9" i="19"/>
  <c r="Q6" i="19"/>
  <c r="B186" i="18"/>
  <c r="B185" i="18"/>
  <c r="B181" i="18"/>
  <c r="B180" i="18"/>
  <c r="D9" i="6" s="1"/>
  <c r="B176" i="18"/>
  <c r="B175" i="18"/>
  <c r="B174" i="18"/>
  <c r="B171" i="18"/>
  <c r="B170" i="18"/>
  <c r="B168" i="18"/>
  <c r="B167" i="18"/>
  <c r="B166" i="18"/>
  <c r="B165" i="18"/>
  <c r="B164" i="18"/>
  <c r="B163" i="18"/>
  <c r="B162" i="18"/>
  <c r="B161" i="18"/>
  <c r="B160" i="18"/>
  <c r="B159" i="18"/>
  <c r="B157" i="18"/>
  <c r="B156" i="18"/>
  <c r="B155" i="18"/>
  <c r="B154" i="18"/>
  <c r="B153" i="18"/>
  <c r="B151" i="18"/>
  <c r="B150" i="18"/>
  <c r="B149" i="18"/>
  <c r="B148" i="18"/>
  <c r="B147" i="18"/>
  <c r="B146" i="18"/>
  <c r="B145" i="18"/>
  <c r="B144" i="18"/>
  <c r="B143" i="18"/>
  <c r="B140" i="18"/>
  <c r="B139" i="18"/>
  <c r="N23" i="19" s="1"/>
  <c r="B138" i="18"/>
  <c r="T22" i="19" s="1"/>
  <c r="B137" i="18"/>
  <c r="T21" i="19" s="1"/>
  <c r="B136" i="18"/>
  <c r="N20" i="19" s="1"/>
  <c r="B135" i="18"/>
  <c r="B132" i="18"/>
  <c r="B131" i="18"/>
  <c r="B128" i="18"/>
  <c r="B127" i="18"/>
  <c r="B126" i="18"/>
  <c r="B125" i="18"/>
  <c r="B124" i="18"/>
  <c r="B120" i="18"/>
  <c r="B119" i="18"/>
  <c r="B118" i="18"/>
  <c r="B117" i="18"/>
  <c r="B116" i="18"/>
  <c r="B115" i="18"/>
  <c r="B114" i="18"/>
  <c r="D24" i="6" s="1"/>
  <c r="B113" i="18"/>
  <c r="B112" i="18"/>
  <c r="B107" i="18"/>
  <c r="B106" i="18"/>
  <c r="B105" i="18"/>
  <c r="B104" i="18"/>
  <c r="B103" i="18"/>
  <c r="B102" i="18"/>
  <c r="B101" i="18"/>
  <c r="B100" i="18"/>
  <c r="B99" i="18"/>
  <c r="B98" i="18"/>
  <c r="B95" i="18"/>
  <c r="B94" i="18"/>
  <c r="B93" i="18"/>
  <c r="B92" i="18"/>
  <c r="B91" i="18"/>
  <c r="B88" i="18"/>
  <c r="B87" i="18"/>
  <c r="B86" i="18"/>
  <c r="B85" i="18"/>
  <c r="B84" i="18"/>
  <c r="B83" i="18"/>
  <c r="B82" i="18"/>
  <c r="B81" i="18"/>
  <c r="B80" i="18"/>
  <c r="B79" i="18"/>
  <c r="B76" i="18"/>
  <c r="B75" i="18"/>
  <c r="C6" i="2" s="1"/>
  <c r="B72" i="18"/>
  <c r="B71" i="18"/>
  <c r="B70" i="18"/>
  <c r="B69" i="18"/>
  <c r="B68" i="18"/>
  <c r="B67" i="18"/>
  <c r="B64" i="18"/>
  <c r="B63" i="18"/>
  <c r="B62" i="18"/>
  <c r="B61" i="18"/>
  <c r="B60" i="18"/>
  <c r="B57" i="18"/>
  <c r="B56" i="18"/>
  <c r="B55" i="18"/>
  <c r="B54" i="18"/>
  <c r="B50" i="18"/>
  <c r="B49" i="18"/>
  <c r="B48" i="18"/>
  <c r="B47" i="18"/>
  <c r="B46" i="18"/>
  <c r="B45" i="18"/>
  <c r="B44" i="18"/>
  <c r="B43" i="18"/>
  <c r="B42" i="18"/>
  <c r="B41" i="18"/>
  <c r="B38" i="18"/>
  <c r="B37" i="18"/>
  <c r="B36" i="18"/>
  <c r="B35" i="18"/>
  <c r="B34" i="18"/>
  <c r="B33" i="18"/>
  <c r="B32" i="18"/>
  <c r="B31" i="18"/>
  <c r="B30" i="18"/>
  <c r="B29" i="18"/>
  <c r="B28" i="18"/>
  <c r="B27" i="18"/>
  <c r="B26" i="18"/>
  <c r="B23" i="18"/>
  <c r="B22" i="18"/>
  <c r="B19" i="18"/>
  <c r="B18" i="18"/>
  <c r="B17" i="18"/>
  <c r="B16" i="18"/>
  <c r="G15" i="18"/>
  <c r="B15" i="18"/>
  <c r="B14" i="18"/>
  <c r="B11" i="18"/>
  <c r="B10" i="18"/>
  <c r="B9" i="18"/>
  <c r="B8" i="18"/>
  <c r="B3" i="18"/>
  <c r="B2" i="18"/>
  <c r="B203" i="24"/>
  <c r="B202" i="24"/>
  <c r="B201" i="24"/>
  <c r="B200" i="24"/>
  <c r="B199" i="24"/>
  <c r="B198" i="24"/>
  <c r="B197" i="24"/>
  <c r="B196" i="24"/>
  <c r="B195" i="24"/>
  <c r="B194" i="24"/>
  <c r="B193" i="24"/>
  <c r="B192" i="24"/>
  <c r="B191" i="24"/>
  <c r="B190" i="24"/>
  <c r="B189" i="24"/>
  <c r="B188" i="24"/>
  <c r="B187" i="24"/>
  <c r="B186" i="24"/>
  <c r="B184" i="24"/>
  <c r="B183" i="24"/>
  <c r="B182" i="24"/>
  <c r="B181" i="24"/>
  <c r="B180" i="24"/>
  <c r="B179" i="24"/>
  <c r="B178" i="24"/>
  <c r="B177" i="24"/>
  <c r="B176" i="24"/>
  <c r="B175" i="24"/>
  <c r="B174" i="24"/>
  <c r="B173" i="24"/>
  <c r="B172" i="24"/>
  <c r="B171" i="24"/>
  <c r="B170" i="24"/>
  <c r="B169" i="24"/>
  <c r="B168" i="24"/>
  <c r="B167" i="24"/>
  <c r="B166" i="24"/>
  <c r="B165" i="24"/>
  <c r="B164" i="24"/>
  <c r="B163" i="24"/>
  <c r="B162" i="24"/>
  <c r="B161" i="24"/>
  <c r="B160" i="24"/>
  <c r="B159" i="24"/>
  <c r="B158" i="24"/>
  <c r="B157" i="24"/>
  <c r="B156" i="24"/>
  <c r="B155" i="24"/>
  <c r="B154" i="24"/>
  <c r="B153" i="24"/>
  <c r="B152" i="24"/>
  <c r="B151" i="24"/>
  <c r="B150" i="24"/>
  <c r="B149" i="24"/>
  <c r="B148" i="24"/>
  <c r="B147" i="24"/>
  <c r="B146" i="24"/>
  <c r="B145" i="24"/>
  <c r="B144" i="24"/>
  <c r="B143" i="24"/>
  <c r="B142" i="24"/>
  <c r="B141" i="24"/>
  <c r="B140" i="24"/>
  <c r="B139" i="24"/>
  <c r="B138" i="24"/>
  <c r="B137" i="24"/>
  <c r="B136" i="24"/>
  <c r="B135" i="24"/>
  <c r="B134" i="24"/>
  <c r="B133" i="24"/>
  <c r="B132" i="24"/>
  <c r="B131" i="24"/>
  <c r="B130" i="24"/>
  <c r="B129" i="24"/>
  <c r="B128" i="24"/>
  <c r="B127" i="24"/>
  <c r="B126" i="24"/>
  <c r="B125" i="24"/>
  <c r="B124" i="24"/>
  <c r="B123" i="24"/>
  <c r="B122" i="24"/>
  <c r="B121" i="24"/>
  <c r="B120" i="24"/>
  <c r="B119" i="24"/>
  <c r="B118" i="24"/>
  <c r="B117" i="24"/>
  <c r="B116" i="24"/>
  <c r="B115" i="24"/>
  <c r="B114" i="24"/>
  <c r="B113" i="24"/>
  <c r="B112" i="24"/>
  <c r="B111" i="24"/>
  <c r="B110" i="24"/>
  <c r="B109" i="24"/>
  <c r="B108" i="24"/>
  <c r="B107" i="24"/>
  <c r="B106" i="24"/>
  <c r="B105" i="24"/>
  <c r="B103" i="24"/>
  <c r="B102" i="24"/>
  <c r="B101" i="24"/>
  <c r="B100" i="24"/>
  <c r="B99" i="24"/>
  <c r="B98" i="24"/>
  <c r="B97" i="24"/>
  <c r="B96" i="24"/>
  <c r="B95" i="24"/>
  <c r="B94" i="24"/>
  <c r="B93" i="24"/>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8" i="24"/>
  <c r="B57" i="24"/>
  <c r="B56" i="24"/>
  <c r="B55" i="24"/>
  <c r="B54" i="24"/>
  <c r="B53" i="24"/>
  <c r="B52" i="24"/>
  <c r="B51" i="24"/>
  <c r="B50" i="24"/>
  <c r="B49" i="24"/>
  <c r="B48" i="24"/>
  <c r="B47" i="24"/>
  <c r="B46" i="24"/>
  <c r="B45" i="24"/>
  <c r="B44" i="24"/>
  <c r="B43" i="24"/>
  <c r="B42" i="24"/>
  <c r="B41" i="24"/>
  <c r="B40" i="24"/>
  <c r="B39" i="24"/>
  <c r="B38" i="24"/>
  <c r="B37" i="24"/>
  <c r="B35" i="24"/>
  <c r="B34" i="24"/>
  <c r="B33" i="24"/>
  <c r="B32" i="24"/>
  <c r="B31" i="24"/>
  <c r="B30" i="24"/>
  <c r="B29" i="24"/>
  <c r="B28" i="24"/>
  <c r="B27" i="24"/>
  <c r="B26" i="24"/>
  <c r="B25" i="24"/>
  <c r="H2" i="24" s="1"/>
  <c r="H3" i="24" s="1"/>
  <c r="I3" i="24" s="1"/>
  <c r="J3" i="24" s="1"/>
  <c r="B24" i="24"/>
  <c r="B23" i="24"/>
  <c r="B22" i="24"/>
  <c r="B21" i="24"/>
  <c r="B20" i="24"/>
  <c r="B19" i="24"/>
  <c r="B18" i="24"/>
  <c r="B17" i="24"/>
  <c r="B16" i="24"/>
  <c r="B15" i="24"/>
  <c r="B14" i="24"/>
  <c r="B13" i="24"/>
  <c r="B12" i="24"/>
  <c r="B11" i="24"/>
  <c r="B10" i="24"/>
  <c r="B9" i="24"/>
  <c r="B8" i="24"/>
  <c r="B7" i="24"/>
  <c r="B6" i="24"/>
  <c r="B5" i="24"/>
  <c r="B4" i="24"/>
  <c r="G3" i="24"/>
  <c r="B3" i="24"/>
  <c r="J2" i="24"/>
  <c r="I2" i="24"/>
  <c r="G2" i="24"/>
  <c r="B2" i="24"/>
  <c r="D1" i="24"/>
  <c r="C9" i="21"/>
  <c r="E9" i="21" s="1"/>
  <c r="F9" i="21" s="1"/>
  <c r="B341" i="22"/>
  <c r="B58" i="6" s="1"/>
  <c r="B340" i="22"/>
  <c r="B327" i="6" s="1"/>
  <c r="B339" i="22"/>
  <c r="B325" i="6" s="1"/>
  <c r="B338" i="22"/>
  <c r="B323" i="6" s="1"/>
  <c r="B337" i="22"/>
  <c r="B321" i="6" s="1"/>
  <c r="B336" i="22"/>
  <c r="B319" i="6" s="1"/>
  <c r="B335" i="22"/>
  <c r="B317" i="6" s="1"/>
  <c r="B334" i="22"/>
  <c r="B315" i="6" s="1"/>
  <c r="B333" i="22"/>
  <c r="B313" i="6" s="1"/>
  <c r="B332" i="22"/>
  <c r="B311" i="6" s="1"/>
  <c r="B331" i="22"/>
  <c r="B309" i="6" s="1"/>
  <c r="B330" i="22"/>
  <c r="B307" i="6" s="1"/>
  <c r="B329" i="22"/>
  <c r="B305" i="6" s="1"/>
  <c r="B328" i="22"/>
  <c r="B303" i="6" s="1"/>
  <c r="B327" i="22"/>
  <c r="B301" i="6" s="1"/>
  <c r="B326" i="22"/>
  <c r="B299" i="6" s="1"/>
  <c r="B325" i="22"/>
  <c r="B297" i="6" s="1"/>
  <c r="B324" i="22"/>
  <c r="B295" i="6" s="1"/>
  <c r="B323" i="22"/>
  <c r="B293" i="6" s="1"/>
  <c r="B322" i="22"/>
  <c r="B291" i="6" s="1"/>
  <c r="B321" i="22"/>
  <c r="B289" i="6" s="1"/>
  <c r="B320" i="22"/>
  <c r="B287" i="6" s="1"/>
  <c r="B319" i="22"/>
  <c r="B285" i="6" s="1"/>
  <c r="B318" i="22"/>
  <c r="B283" i="6" s="1"/>
  <c r="B317" i="22"/>
  <c r="B281" i="6" s="1"/>
  <c r="B316" i="22"/>
  <c r="B2" i="4" s="1"/>
  <c r="B315" i="22"/>
  <c r="B2" i="6" s="1"/>
  <c r="B314" i="22"/>
  <c r="B313" i="22"/>
  <c r="B15" i="23" s="1"/>
  <c r="B312" i="22"/>
  <c r="B13" i="23" s="1"/>
  <c r="B311" i="22"/>
  <c r="B12" i="23" s="1"/>
  <c r="B310" i="22"/>
  <c r="B11" i="23" s="1"/>
  <c r="B309" i="22"/>
  <c r="G11" i="5" s="1"/>
  <c r="B308" i="22"/>
  <c r="G7" i="5" s="1"/>
  <c r="B307" i="22"/>
  <c r="G6" i="5" s="1"/>
  <c r="B306" i="22"/>
  <c r="G5" i="5" s="1"/>
  <c r="B305" i="22"/>
  <c r="G4" i="5" s="1"/>
  <c r="B303" i="22"/>
  <c r="B302" i="22"/>
  <c r="B19" i="5" s="1"/>
  <c r="B301" i="22"/>
  <c r="B75" i="5" s="1"/>
  <c r="B300" i="22"/>
  <c r="B42" i="5" s="1"/>
  <c r="B299" i="22"/>
  <c r="B80" i="5" s="1"/>
  <c r="B298" i="22"/>
  <c r="B297" i="22"/>
  <c r="B11" i="5" s="1"/>
  <c r="B296" i="22"/>
  <c r="B10" i="5" s="1"/>
  <c r="B295" i="22"/>
  <c r="B9" i="5" s="1"/>
  <c r="B294" i="22"/>
  <c r="B8" i="5" s="1"/>
  <c r="B293" i="22"/>
  <c r="B7" i="5" s="1"/>
  <c r="B292" i="22"/>
  <c r="B6" i="5" s="1"/>
  <c r="B291" i="22"/>
  <c r="B5" i="5" s="1"/>
  <c r="B290" i="22"/>
  <c r="B4" i="5" s="1"/>
  <c r="B289" i="22"/>
  <c r="B3" i="5" s="1"/>
  <c r="B288" i="22"/>
  <c r="B2" i="5" s="1"/>
  <c r="B287" i="22"/>
  <c r="B1" i="5" s="1"/>
  <c r="B286" i="22"/>
  <c r="B285" i="22"/>
  <c r="B284" i="22"/>
  <c r="B283" i="22"/>
  <c r="B58" i="4" s="1"/>
  <c r="B282" i="22"/>
  <c r="B56" i="4" s="1"/>
  <c r="B281" i="22"/>
  <c r="B55" i="4" s="1"/>
  <c r="B280" i="22"/>
  <c r="B53" i="4" s="1"/>
  <c r="B279" i="22"/>
  <c r="B52" i="4" s="1"/>
  <c r="B278" i="22"/>
  <c r="B51" i="4" s="1"/>
  <c r="B277" i="22"/>
  <c r="B50" i="4" s="1"/>
  <c r="B275" i="22"/>
  <c r="B274" i="22"/>
  <c r="B273" i="22"/>
  <c r="B272" i="22"/>
  <c r="B271" i="22"/>
  <c r="B37" i="4" s="1"/>
  <c r="B270" i="22"/>
  <c r="B32" i="4" s="1"/>
  <c r="B269" i="22"/>
  <c r="B30" i="4" s="1"/>
  <c r="B268" i="22"/>
  <c r="B29" i="4" s="1"/>
  <c r="B267" i="22"/>
  <c r="B27" i="4" s="1"/>
  <c r="B266" i="22"/>
  <c r="B26" i="4" s="1"/>
  <c r="B265" i="22"/>
  <c r="B25" i="4" s="1"/>
  <c r="B264" i="22"/>
  <c r="B24" i="4" s="1"/>
  <c r="B263" i="22"/>
  <c r="B23" i="4" s="1"/>
  <c r="B262" i="22"/>
  <c r="B22" i="4" s="1"/>
  <c r="B261" i="22"/>
  <c r="B21" i="4" s="1"/>
  <c r="B260" i="22"/>
  <c r="B19" i="4" s="1"/>
  <c r="B259" i="22"/>
  <c r="B18" i="4" s="1"/>
  <c r="B258" i="22"/>
  <c r="B17" i="4" s="1"/>
  <c r="B257" i="22"/>
  <c r="B15" i="4" s="1"/>
  <c r="B256" i="22"/>
  <c r="B14" i="4" s="1"/>
  <c r="B255" i="22"/>
  <c r="B13" i="4" s="1"/>
  <c r="B254" i="22"/>
  <c r="B12" i="4" s="1"/>
  <c r="B253" i="22"/>
  <c r="B10" i="4" s="1"/>
  <c r="B252" i="22"/>
  <c r="B9" i="4" s="1"/>
  <c r="B251" i="22"/>
  <c r="B8" i="4" s="1"/>
  <c r="B250" i="22"/>
  <c r="B7" i="4" s="1"/>
  <c r="B249" i="22"/>
  <c r="B6" i="4" s="1"/>
  <c r="B248" i="22"/>
  <c r="B1" i="4" s="1"/>
  <c r="B247" i="22"/>
  <c r="B246" i="22"/>
  <c r="B245" i="22"/>
  <c r="C329" i="6" s="1"/>
  <c r="B244" i="22"/>
  <c r="B44" i="3" s="1"/>
  <c r="B87" i="3" s="1"/>
  <c r="B132" i="3" s="1"/>
  <c r="B243" i="22"/>
  <c r="B42" i="3" s="1"/>
  <c r="B85" i="3" s="1"/>
  <c r="B130" i="3" s="1"/>
  <c r="B242" i="22"/>
  <c r="B40" i="3" s="1"/>
  <c r="B83" i="3" s="1"/>
  <c r="B128" i="3" s="1"/>
  <c r="B241" i="22"/>
  <c r="B240" i="22"/>
  <c r="B34" i="4" s="1"/>
  <c r="B239" i="22"/>
  <c r="B33" i="3" s="1"/>
  <c r="B76" i="3" s="1"/>
  <c r="B121" i="3" s="1"/>
  <c r="B238" i="22"/>
  <c r="B32" i="3" s="1"/>
  <c r="B75" i="3" s="1"/>
  <c r="B120" i="3" s="1"/>
  <c r="B237" i="22"/>
  <c r="B31" i="3" s="1"/>
  <c r="B74" i="3" s="1"/>
  <c r="B119" i="3" s="1"/>
  <c r="B236" i="22"/>
  <c r="B30" i="3" s="1"/>
  <c r="B73" i="3" s="1"/>
  <c r="B118" i="3" s="1"/>
  <c r="B235" i="22"/>
  <c r="B28" i="3" s="1"/>
  <c r="B72" i="3" s="1"/>
  <c r="B117" i="3" s="1"/>
  <c r="B234" i="22"/>
  <c r="B27" i="3" s="1"/>
  <c r="B71" i="3" s="1"/>
  <c r="B116" i="3" s="1"/>
  <c r="B233" i="22"/>
  <c r="B26" i="3" s="1"/>
  <c r="B70" i="3" s="1"/>
  <c r="B115" i="3" s="1"/>
  <c r="B232" i="22"/>
  <c r="B25" i="3" s="1"/>
  <c r="B69" i="3" s="1"/>
  <c r="B114" i="3" s="1"/>
  <c r="B231" i="22"/>
  <c r="B24" i="3" s="1"/>
  <c r="B68" i="3" s="1"/>
  <c r="B113" i="3" s="1"/>
  <c r="B230" i="22"/>
  <c r="B23" i="3" s="1"/>
  <c r="B67" i="3" s="1"/>
  <c r="B112" i="3" s="1"/>
  <c r="B229" i="22"/>
  <c r="B22" i="3" s="1"/>
  <c r="B66" i="3" s="1"/>
  <c r="B111" i="3" s="1"/>
  <c r="B228" i="22"/>
  <c r="B21" i="3" s="1"/>
  <c r="B65" i="3" s="1"/>
  <c r="B110" i="3" s="1"/>
  <c r="B227" i="22"/>
  <c r="B20" i="3" s="1"/>
  <c r="B64" i="3" s="1"/>
  <c r="B109" i="3" s="1"/>
  <c r="B226" i="22"/>
  <c r="B19" i="3" s="1"/>
  <c r="B63" i="3" s="1"/>
  <c r="B108" i="3" s="1"/>
  <c r="B225" i="22"/>
  <c r="B18" i="3" s="1"/>
  <c r="B62" i="3" s="1"/>
  <c r="B107" i="3" s="1"/>
  <c r="B224" i="22"/>
  <c r="B17" i="3" s="1"/>
  <c r="B61" i="3" s="1"/>
  <c r="B106" i="3" s="1"/>
  <c r="B223" i="22"/>
  <c r="B15" i="3" s="1"/>
  <c r="B59" i="3" s="1"/>
  <c r="B104" i="3" s="1"/>
  <c r="B222" i="22"/>
  <c r="B14" i="3" s="1"/>
  <c r="B58" i="3" s="1"/>
  <c r="B103" i="3" s="1"/>
  <c r="B221" i="22"/>
  <c r="B13" i="3" s="1"/>
  <c r="B57" i="3" s="1"/>
  <c r="B102" i="3" s="1"/>
  <c r="B220" i="22"/>
  <c r="B12" i="3" s="1"/>
  <c r="B56" i="3" s="1"/>
  <c r="B101" i="3" s="1"/>
  <c r="B219" i="22"/>
  <c r="B11" i="3" s="1"/>
  <c r="B55" i="3" s="1"/>
  <c r="B100" i="3" s="1"/>
  <c r="B218" i="22"/>
  <c r="B10" i="3" s="1"/>
  <c r="B54" i="3" s="1"/>
  <c r="B99" i="3" s="1"/>
  <c r="B217" i="22"/>
  <c r="B9" i="3" s="1"/>
  <c r="B53" i="3" s="1"/>
  <c r="B98" i="3" s="1"/>
  <c r="B216" i="22"/>
  <c r="B8" i="3" s="1"/>
  <c r="B52" i="3" s="1"/>
  <c r="B97" i="3" s="1"/>
  <c r="B215" i="22"/>
  <c r="B7" i="3" s="1"/>
  <c r="B51" i="3" s="1"/>
  <c r="B96" i="3" s="1"/>
  <c r="B214" i="22"/>
  <c r="B5" i="3" s="1"/>
  <c r="B49" i="3" s="1"/>
  <c r="B94" i="3" s="1"/>
  <c r="B213" i="22"/>
  <c r="B3" i="3" s="1"/>
  <c r="B47" i="3" s="1"/>
  <c r="B92" i="3" s="1"/>
  <c r="B212" i="22"/>
  <c r="B1" i="3" s="1"/>
  <c r="B211" i="22"/>
  <c r="B210" i="22"/>
  <c r="B209" i="22"/>
  <c r="B208" i="22"/>
  <c r="H31" i="2" s="1"/>
  <c r="B207" i="22"/>
  <c r="B206" i="22"/>
  <c r="H26" i="2" s="1"/>
  <c r="B205" i="22"/>
  <c r="H25" i="2" s="1"/>
  <c r="B204" i="22"/>
  <c r="H24" i="2" s="1"/>
  <c r="B203" i="22"/>
  <c r="H23" i="2" s="1"/>
  <c r="B29" i="3" s="1"/>
  <c r="B202" i="22"/>
  <c r="H22" i="2" s="1"/>
  <c r="B201" i="22"/>
  <c r="H21" i="2" s="1"/>
  <c r="E200" i="22"/>
  <c r="D200" i="22"/>
  <c r="C200" i="22"/>
  <c r="B200" i="22"/>
  <c r="D28" i="2" s="1"/>
  <c r="B199" i="22"/>
  <c r="D26" i="2" s="1"/>
  <c r="B198" i="22"/>
  <c r="D24" i="2" s="1"/>
  <c r="B197" i="22"/>
  <c r="B24" i="2" s="1"/>
  <c r="B196" i="22"/>
  <c r="C27" i="2" s="1"/>
  <c r="B195" i="22"/>
  <c r="B25" i="2" s="1"/>
  <c r="B194" i="22"/>
  <c r="C23" i="2" s="1"/>
  <c r="B193" i="22"/>
  <c r="B21" i="2" s="1"/>
  <c r="B192" i="22"/>
  <c r="H18" i="2" s="1"/>
  <c r="B191" i="22"/>
  <c r="H15" i="2" s="1"/>
  <c r="B190" i="22"/>
  <c r="H14" i="2" s="1"/>
  <c r="B189" i="22"/>
  <c r="H13" i="2" s="1"/>
  <c r="B188" i="22"/>
  <c r="H12" i="2" s="1"/>
  <c r="B187" i="22"/>
  <c r="H7" i="2" s="1"/>
  <c r="B186" i="22"/>
  <c r="H6" i="2" s="1"/>
  <c r="B185" i="22"/>
  <c r="H5" i="2" s="1"/>
  <c r="B184" i="22"/>
  <c r="H4" i="2" s="1"/>
  <c r="B183" i="22"/>
  <c r="H3" i="2" s="1"/>
  <c r="B182" i="22"/>
  <c r="E3" i="2" s="1"/>
  <c r="B181" i="22"/>
  <c r="D3" i="2" s="1"/>
  <c r="B180" i="22"/>
  <c r="C3" i="2" s="1"/>
  <c r="B179" i="22"/>
  <c r="B18" i="2" s="1"/>
  <c r="B178" i="22"/>
  <c r="B16" i="2" s="1"/>
  <c r="B177" i="22"/>
  <c r="B15" i="2" s="1"/>
  <c r="B176" i="22"/>
  <c r="B14" i="2" s="1"/>
  <c r="B175" i="22"/>
  <c r="B13" i="2" s="1"/>
  <c r="B174" i="22"/>
  <c r="B12" i="2" s="1"/>
  <c r="B173" i="22"/>
  <c r="B10" i="2" s="1"/>
  <c r="B172" i="22"/>
  <c r="B9" i="2" s="1"/>
  <c r="B171" i="22"/>
  <c r="B8" i="2" s="1"/>
  <c r="B170" i="22"/>
  <c r="B6" i="2" s="1"/>
  <c r="B169" i="22"/>
  <c r="B5" i="2" s="1"/>
  <c r="B168" i="22"/>
  <c r="B4" i="2" s="1"/>
  <c r="B167" i="22"/>
  <c r="B3" i="2" s="1"/>
  <c r="B166" i="22"/>
  <c r="B1" i="2" s="1"/>
  <c r="B165" i="22"/>
  <c r="C161" i="22"/>
  <c r="C160" i="22"/>
  <c r="C159" i="22"/>
  <c r="B150" i="22"/>
  <c r="E37" i="6" s="1"/>
  <c r="B147" i="22"/>
  <c r="C325" i="6" s="1"/>
  <c r="B146" i="22"/>
  <c r="F141" i="6" s="1"/>
  <c r="B145" i="22"/>
  <c r="E343" i="6" s="1"/>
  <c r="B144" i="22"/>
  <c r="B345" i="6" s="1"/>
  <c r="B143" i="22"/>
  <c r="B343" i="6" s="1"/>
  <c r="B142" i="22"/>
  <c r="B341" i="6" s="1"/>
  <c r="B141" i="22"/>
  <c r="B339" i="6" s="1"/>
  <c r="B140" i="22"/>
  <c r="B337" i="6" s="1"/>
  <c r="B139" i="22"/>
  <c r="B335" i="6" s="1"/>
  <c r="B138" i="22"/>
  <c r="B333" i="6" s="1"/>
  <c r="B137" i="22"/>
  <c r="B331" i="6" s="1"/>
  <c r="B136" i="22"/>
  <c r="B330" i="6" s="1"/>
  <c r="B135" i="22"/>
  <c r="B279" i="6" s="1"/>
  <c r="B134" i="22"/>
  <c r="B277" i="6" s="1"/>
  <c r="B133" i="22"/>
  <c r="B275" i="6" s="1"/>
  <c r="B132" i="22"/>
  <c r="B273" i="6" s="1"/>
  <c r="B131" i="22"/>
  <c r="B271" i="6" s="1"/>
  <c r="B130" i="22"/>
  <c r="B269" i="6" s="1"/>
  <c r="B129" i="22"/>
  <c r="B267" i="6" s="1"/>
  <c r="B128" i="22"/>
  <c r="B265" i="6" s="1"/>
  <c r="B127" i="22"/>
  <c r="B263" i="6" s="1"/>
  <c r="B126" i="22"/>
  <c r="B261" i="6" s="1"/>
  <c r="B125" i="22"/>
  <c r="B259" i="6" s="1"/>
  <c r="B124" i="22"/>
  <c r="B257" i="6" s="1"/>
  <c r="B123" i="22"/>
  <c r="B256" i="6" s="1"/>
  <c r="B122" i="22"/>
  <c r="B255" i="6" s="1"/>
  <c r="B121" i="22"/>
  <c r="B253" i="6" s="1"/>
  <c r="B120" i="22"/>
  <c r="B251" i="6" s="1"/>
  <c r="B119" i="22"/>
  <c r="B248" i="6" s="1"/>
  <c r="B115" i="22"/>
  <c r="B165" i="6" s="1"/>
  <c r="B114" i="22"/>
  <c r="B164" i="6" s="1"/>
  <c r="B113" i="22"/>
  <c r="B162" i="6" s="1"/>
  <c r="B112" i="22"/>
  <c r="B160" i="6" s="1"/>
  <c r="B111" i="22"/>
  <c r="B158" i="6" s="1"/>
  <c r="B110" i="22"/>
  <c r="B156" i="6" s="1"/>
  <c r="B109" i="22"/>
  <c r="B154" i="6" s="1"/>
  <c r="B108" i="22"/>
  <c r="B153" i="6" s="1"/>
  <c r="B107" i="22"/>
  <c r="B152" i="6" s="1"/>
  <c r="B106" i="22"/>
  <c r="B150" i="6" s="1"/>
  <c r="B104" i="22"/>
  <c r="B146" i="6" s="1"/>
  <c r="B102" i="22"/>
  <c r="B142" i="6" s="1"/>
  <c r="B101" i="22"/>
  <c r="B141" i="6" s="1"/>
  <c r="B100" i="22"/>
  <c r="B140" i="6" s="1"/>
  <c r="B96" i="22"/>
  <c r="B131" i="6" s="1"/>
  <c r="B92" i="22"/>
  <c r="B123" i="6" s="1"/>
  <c r="B91" i="22"/>
  <c r="B121" i="6" s="1"/>
  <c r="B90" i="22"/>
  <c r="B120" i="6" s="1"/>
  <c r="B89" i="22"/>
  <c r="B118" i="6" s="1"/>
  <c r="B88" i="22"/>
  <c r="B116" i="6" s="1"/>
  <c r="B87" i="22"/>
  <c r="B114" i="6" s="1"/>
  <c r="B86" i="22"/>
  <c r="B112" i="6" s="1"/>
  <c r="B85" i="22"/>
  <c r="B110" i="6" s="1"/>
  <c r="B84" i="22"/>
  <c r="B108" i="6" s="1"/>
  <c r="B83" i="22"/>
  <c r="B106" i="6" s="1"/>
  <c r="B82" i="22"/>
  <c r="B104" i="6" s="1"/>
  <c r="B81" i="22"/>
  <c r="B102" i="6" s="1"/>
  <c r="B80" i="22"/>
  <c r="B100" i="6" s="1"/>
  <c r="B79" i="22"/>
  <c r="B7" i="2" s="1"/>
  <c r="B78" i="22"/>
  <c r="B96" i="6" s="1"/>
  <c r="B77" i="22"/>
  <c r="B94" i="6" s="1"/>
  <c r="B76" i="22"/>
  <c r="B92" i="6" s="1"/>
  <c r="B75" i="22"/>
  <c r="B91" i="6" s="1"/>
  <c r="B74" i="22"/>
  <c r="B90" i="6" s="1"/>
  <c r="B73" i="22"/>
  <c r="B87" i="6" s="1"/>
  <c r="B72" i="22"/>
  <c r="B71" i="22"/>
  <c r="B85" i="6" s="1"/>
  <c r="B70" i="22"/>
  <c r="B83" i="6" s="1"/>
  <c r="B69" i="22"/>
  <c r="B81" i="6" s="1"/>
  <c r="B68" i="22"/>
  <c r="B79" i="6" s="1"/>
  <c r="B67" i="22"/>
  <c r="B77" i="6" s="1"/>
  <c r="B66" i="22"/>
  <c r="B76" i="6" s="1"/>
  <c r="B64" i="22"/>
  <c r="B73" i="6" s="1"/>
  <c r="B63" i="22"/>
  <c r="B71" i="6" s="1"/>
  <c r="B62" i="22"/>
  <c r="B69" i="6" s="1"/>
  <c r="B61" i="22"/>
  <c r="B66" i="6" s="1"/>
  <c r="B60" i="22"/>
  <c r="B64" i="6" s="1"/>
  <c r="B59" i="22"/>
  <c r="B62" i="6" s="1"/>
  <c r="B58" i="22"/>
  <c r="B60" i="6" s="1"/>
  <c r="B57" i="22"/>
  <c r="B56" i="6" s="1"/>
  <c r="B56" i="22"/>
  <c r="B54" i="6" s="1"/>
  <c r="B55" i="22"/>
  <c r="B52" i="6" s="1"/>
  <c r="B54" i="22"/>
  <c r="B50" i="6" s="1"/>
  <c r="B53" i="22"/>
  <c r="B48" i="6" s="1"/>
  <c r="B52" i="22"/>
  <c r="B46" i="6" s="1"/>
  <c r="B51" i="22"/>
  <c r="B44" i="6" s="1"/>
  <c r="B50" i="22"/>
  <c r="B42" i="6" s="1"/>
  <c r="B49" i="22"/>
  <c r="B41" i="6" s="1"/>
  <c r="B48" i="22"/>
  <c r="B40" i="6" s="1"/>
  <c r="B47" i="22"/>
  <c r="B37" i="6" s="1"/>
  <c r="B46" i="22"/>
  <c r="B35" i="6" s="1"/>
  <c r="B43" i="22"/>
  <c r="B28" i="6" s="1"/>
  <c r="B42" i="22"/>
  <c r="B41" i="22"/>
  <c r="B24" i="6" s="1"/>
  <c r="B40" i="22"/>
  <c r="B22" i="6" s="1"/>
  <c r="B39" i="22"/>
  <c r="B20" i="6" s="1"/>
  <c r="B38" i="22"/>
  <c r="B18" i="6" s="1"/>
  <c r="B37" i="22"/>
  <c r="B17" i="6" s="1"/>
  <c r="B36" i="22"/>
  <c r="E14" i="6" s="1"/>
  <c r="B35" i="22"/>
  <c r="B34" i="22"/>
  <c r="B14" i="6" s="1"/>
  <c r="B30" i="22"/>
  <c r="C9" i="6" s="1"/>
  <c r="B29" i="22"/>
  <c r="C7" i="6" s="1"/>
  <c r="B28" i="22"/>
  <c r="D6" i="6" s="1"/>
  <c r="B26" i="22"/>
  <c r="B7" i="6" s="1"/>
  <c r="B25" i="22"/>
  <c r="B6" i="6" s="1"/>
  <c r="B24" i="22"/>
  <c r="B1" i="6" s="1"/>
  <c r="B23" i="22"/>
  <c r="B22" i="22"/>
  <c r="B20" i="22"/>
  <c r="B19" i="22"/>
  <c r="B18" i="22"/>
  <c r="B23" i="23" s="1"/>
  <c r="B17" i="22"/>
  <c r="B22" i="23" s="1"/>
  <c r="B16" i="22"/>
  <c r="B15" i="22"/>
  <c r="B14" i="22"/>
  <c r="B13" i="22"/>
  <c r="B12" i="22"/>
  <c r="B11" i="22"/>
  <c r="B10" i="22"/>
  <c r="B19" i="23" s="1"/>
  <c r="B9" i="22"/>
  <c r="B18" i="23" s="1"/>
  <c r="B8" i="22"/>
  <c r="B17" i="23" s="1"/>
  <c r="B7" i="22"/>
  <c r="B16" i="23" s="1"/>
  <c r="B6" i="22"/>
  <c r="B5" i="22"/>
  <c r="B4" i="22"/>
  <c r="B6" i="23" s="1"/>
  <c r="B3" i="22"/>
  <c r="B1" i="23" s="1"/>
  <c r="B2" i="22"/>
  <c r="M13" i="5"/>
  <c r="N13" i="5" s="1"/>
  <c r="E13" i="5"/>
  <c r="F13" i="5" s="1"/>
  <c r="G13" i="5" s="1"/>
  <c r="H13" i="5" s="1"/>
  <c r="I13" i="5" s="1"/>
  <c r="J13" i="5" s="1"/>
  <c r="K13" i="5" s="1"/>
  <c r="L13" i="5" s="1"/>
  <c r="D13" i="5"/>
  <c r="C10" i="5"/>
  <c r="C7" i="5"/>
  <c r="C8" i="5" s="1"/>
  <c r="E50" i="4"/>
  <c r="D50" i="4"/>
  <c r="C50" i="4"/>
  <c r="B38" i="4"/>
  <c r="O121" i="3"/>
  <c r="N121" i="3"/>
  <c r="M121" i="3"/>
  <c r="L121" i="3"/>
  <c r="K121" i="3"/>
  <c r="J121" i="3"/>
  <c r="I121" i="3"/>
  <c r="H121" i="3"/>
  <c r="G121" i="3"/>
  <c r="F121" i="3"/>
  <c r="E121" i="3"/>
  <c r="D121" i="3"/>
  <c r="P107" i="3"/>
  <c r="P99" i="3"/>
  <c r="P98" i="3"/>
  <c r="P97" i="3"/>
  <c r="P62" i="3"/>
  <c r="P54" i="3"/>
  <c r="P53" i="3"/>
  <c r="P52" i="3"/>
  <c r="C11" i="5"/>
  <c r="F327" i="6"/>
  <c r="D327" i="6"/>
  <c r="F325" i="6"/>
  <c r="D325" i="6"/>
  <c r="F323" i="6"/>
  <c r="D323" i="6"/>
  <c r="F321" i="6"/>
  <c r="D321" i="6"/>
  <c r="F319" i="6"/>
  <c r="D319" i="6"/>
  <c r="F317" i="6"/>
  <c r="D317" i="6"/>
  <c r="F315" i="6"/>
  <c r="D315" i="6"/>
  <c r="F313" i="6"/>
  <c r="D313" i="6"/>
  <c r="F311" i="6"/>
  <c r="D311" i="6"/>
  <c r="F309" i="6"/>
  <c r="D309" i="6"/>
  <c r="F307" i="6"/>
  <c r="D307" i="6"/>
  <c r="F305" i="6"/>
  <c r="D305" i="6"/>
  <c r="F303" i="6"/>
  <c r="D303" i="6"/>
  <c r="F301" i="6"/>
  <c r="D301" i="6"/>
  <c r="F299" i="6"/>
  <c r="D299" i="6"/>
  <c r="F297" i="6"/>
  <c r="D297" i="6"/>
  <c r="F295" i="6"/>
  <c r="D295" i="6"/>
  <c r="F293" i="6"/>
  <c r="D293" i="6"/>
  <c r="F291" i="6"/>
  <c r="D291" i="6"/>
  <c r="F289" i="6"/>
  <c r="D289" i="6"/>
  <c r="F287" i="6"/>
  <c r="D287" i="6"/>
  <c r="F285" i="6"/>
  <c r="D285" i="6"/>
  <c r="F283" i="6"/>
  <c r="D283" i="6"/>
  <c r="F281" i="6"/>
  <c r="D281" i="6"/>
  <c r="F279" i="6"/>
  <c r="D279" i="6"/>
  <c r="F277" i="6"/>
  <c r="D277" i="6"/>
  <c r="F275" i="6"/>
  <c r="D275" i="6"/>
  <c r="F273" i="6"/>
  <c r="D273" i="6"/>
  <c r="F271" i="6"/>
  <c r="D271" i="6"/>
  <c r="F269" i="6"/>
  <c r="D269" i="6"/>
  <c r="F267" i="6"/>
  <c r="D267" i="6"/>
  <c r="F265" i="6"/>
  <c r="D265" i="6"/>
  <c r="F263" i="6"/>
  <c r="D263" i="6"/>
  <c r="F261" i="6"/>
  <c r="D261" i="6"/>
  <c r="F259" i="6"/>
  <c r="F249" i="6"/>
  <c r="D249" i="6"/>
  <c r="F162" i="6"/>
  <c r="F160" i="6"/>
  <c r="F158" i="6"/>
  <c r="F156" i="6"/>
  <c r="F154" i="6"/>
  <c r="F152" i="6"/>
  <c r="L25" i="3" s="1"/>
  <c r="F150" i="6"/>
  <c r="N24" i="3" s="1"/>
  <c r="F146" i="6"/>
  <c r="F142" i="6"/>
  <c r="F131" i="6"/>
  <c r="F123" i="6"/>
  <c r="I6" i="2" s="1"/>
  <c r="F121" i="6"/>
  <c r="I5" i="2" s="1"/>
  <c r="F118" i="6"/>
  <c r="F114" i="6"/>
  <c r="D14" i="2" s="1"/>
  <c r="F112" i="6"/>
  <c r="F110" i="6"/>
  <c r="F108" i="6"/>
  <c r="F106" i="6"/>
  <c r="F102" i="6"/>
  <c r="F100" i="6"/>
  <c r="A18" i="6"/>
  <c r="A20" i="6" s="1"/>
  <c r="A22" i="6" s="1"/>
  <c r="A24" i="6" s="1"/>
  <c r="A26" i="6" s="1"/>
  <c r="A28" i="6" s="1"/>
  <c r="A30" i="6" s="1"/>
  <c r="A32" i="6" s="1"/>
  <c r="A41" i="6" s="1"/>
  <c r="A77" i="6" s="1"/>
  <c r="A79" i="6" s="1"/>
  <c r="A81" i="6" s="1"/>
  <c r="A83" i="6" s="1"/>
  <c r="A85" i="6" s="1"/>
  <c r="A87" i="6" s="1"/>
  <c r="A91" i="6" s="1"/>
  <c r="A121" i="6" s="1"/>
  <c r="A123" i="6" s="1"/>
  <c r="A131" i="6" s="1"/>
  <c r="A141" i="6" s="1"/>
  <c r="A165" i="6" s="1"/>
  <c r="A167" i="6" s="1"/>
  <c r="A169" i="6" s="1"/>
  <c r="A171" i="6" s="1"/>
  <c r="D28" i="6" l="1"/>
  <c r="E149" i="22" s="1"/>
  <c r="G6" i="18"/>
  <c r="D92" i="6"/>
  <c r="D4" i="2" s="1"/>
  <c r="F165" i="6"/>
  <c r="E116" i="22" s="1"/>
  <c r="F32" i="6"/>
  <c r="F28" i="6"/>
  <c r="F160" i="22"/>
  <c r="D94" i="6"/>
  <c r="D5" i="2" s="1"/>
  <c r="B48" i="5"/>
  <c r="D104" i="6"/>
  <c r="D102" i="6"/>
  <c r="C9" i="2" s="1"/>
  <c r="D73" i="6"/>
  <c r="E9" i="6"/>
  <c r="B38" i="3"/>
  <c r="B81" i="3" s="1"/>
  <c r="B126" i="3" s="1"/>
  <c r="G25" i="3"/>
  <c r="D10" i="2"/>
  <c r="E10" i="2" s="1"/>
  <c r="C12" i="4"/>
  <c r="C9" i="3"/>
  <c r="P9" i="3" s="1"/>
  <c r="G24" i="3"/>
  <c r="F153" i="6"/>
  <c r="L24" i="3"/>
  <c r="P121" i="3"/>
  <c r="B59" i="5"/>
  <c r="F87" i="6"/>
  <c r="F65" i="22"/>
  <c r="E27" i="22"/>
  <c r="D240" i="22"/>
  <c r="E118" i="6"/>
  <c r="E275" i="6"/>
  <c r="C279" i="6"/>
  <c r="D32" i="22"/>
  <c r="D64" i="22"/>
  <c r="C27" i="22"/>
  <c r="B27" i="22" s="1"/>
  <c r="B9" i="6" s="1"/>
  <c r="C33" i="22"/>
  <c r="C65" i="22"/>
  <c r="D241" i="22"/>
  <c r="E92" i="6"/>
  <c r="C319" i="6"/>
  <c r="D100" i="6"/>
  <c r="C8" i="2" s="1"/>
  <c r="D106" i="6"/>
  <c r="C20" i="3" s="1"/>
  <c r="D96" i="6"/>
  <c r="D6" i="2" s="1"/>
  <c r="E6" i="2" s="1"/>
  <c r="D98" i="6"/>
  <c r="D7" i="2" s="1"/>
  <c r="C295" i="6"/>
  <c r="B24" i="5"/>
  <c r="C287" i="6"/>
  <c r="C311" i="6"/>
  <c r="C327" i="6"/>
  <c r="C303" i="6"/>
  <c r="E116" i="6"/>
  <c r="B32" i="5"/>
  <c r="B72" i="5"/>
  <c r="B40" i="5"/>
  <c r="E146" i="6"/>
  <c r="E158" i="6"/>
  <c r="E267" i="6"/>
  <c r="C271" i="6"/>
  <c r="F58" i="6"/>
  <c r="E100" i="6"/>
  <c r="E112" i="6"/>
  <c r="E123" i="6"/>
  <c r="E259" i="6"/>
  <c r="C263" i="6"/>
  <c r="E283" i="6"/>
  <c r="E291" i="6"/>
  <c r="E299" i="6"/>
  <c r="E307" i="6"/>
  <c r="E315" i="6"/>
  <c r="E323" i="6"/>
  <c r="F44" i="6"/>
  <c r="E35" i="6"/>
  <c r="E69" i="6"/>
  <c r="D83" i="6"/>
  <c r="D77" i="6"/>
  <c r="C92" i="6"/>
  <c r="F20" i="6"/>
  <c r="D62" i="6"/>
  <c r="F18" i="6"/>
  <c r="F85" i="6"/>
  <c r="D30" i="6"/>
  <c r="D42" i="6"/>
  <c r="F50" i="6"/>
  <c r="D56" i="6"/>
  <c r="F64" i="6"/>
  <c r="F79" i="6"/>
  <c r="E341" i="6"/>
  <c r="B17" i="5"/>
  <c r="G157" i="18"/>
  <c r="F56" i="6"/>
  <c r="E77" i="6"/>
  <c r="F83" i="6"/>
  <c r="C100" i="6"/>
  <c r="C331" i="6"/>
  <c r="B34" i="5"/>
  <c r="F33" i="22"/>
  <c r="F42" i="6"/>
  <c r="D48" i="6"/>
  <c r="D54" i="6"/>
  <c r="F62" i="6"/>
  <c r="F24" i="6"/>
  <c r="R18" i="18" s="1"/>
  <c r="D52" i="6"/>
  <c r="F60" i="6"/>
  <c r="E71" i="6"/>
  <c r="C339" i="6"/>
  <c r="B28" i="2"/>
  <c r="B42" i="4"/>
  <c r="F30" i="6"/>
  <c r="D60" i="6"/>
  <c r="D22" i="6"/>
  <c r="D32" i="6"/>
  <c r="D46" i="6"/>
  <c r="F48" i="6"/>
  <c r="F54" i="6"/>
  <c r="D66" i="6"/>
  <c r="F77" i="6"/>
  <c r="D81" i="6"/>
  <c r="D87" i="6"/>
  <c r="D91" i="6"/>
  <c r="B98" i="6"/>
  <c r="F120" i="6"/>
  <c r="B173" i="6"/>
  <c r="B26" i="2"/>
  <c r="D18" i="6"/>
  <c r="D20" i="6"/>
  <c r="F22" i="6"/>
  <c r="D44" i="6"/>
  <c r="F46" i="6"/>
  <c r="D50" i="6"/>
  <c r="F52" i="6"/>
  <c r="D58" i="6"/>
  <c r="D64" i="6"/>
  <c r="F66" i="6"/>
  <c r="D79" i="6"/>
  <c r="F81" i="6"/>
  <c r="D85" i="6"/>
  <c r="F91" i="6"/>
  <c r="E333" i="6"/>
  <c r="B26" i="5"/>
  <c r="E24" i="6"/>
  <c r="C94" i="6"/>
  <c r="C96" i="6"/>
  <c r="C98" i="6"/>
  <c r="C102" i="6"/>
  <c r="C104" i="6"/>
  <c r="C106" i="6"/>
  <c r="C165" i="6"/>
  <c r="C253" i="6"/>
  <c r="E331" i="6"/>
  <c r="C337" i="6"/>
  <c r="E339" i="6"/>
  <c r="C345" i="6"/>
  <c r="B43" i="5"/>
  <c r="B67" i="5"/>
  <c r="B83" i="5"/>
  <c r="E165" i="6"/>
  <c r="C251" i="6"/>
  <c r="E253" i="6"/>
  <c r="C335" i="6"/>
  <c r="E337" i="6"/>
  <c r="C343" i="6"/>
  <c r="E345" i="6"/>
  <c r="B35" i="5"/>
  <c r="B91" i="5"/>
  <c r="E161" i="22"/>
  <c r="E28" i="6"/>
  <c r="E251" i="6"/>
  <c r="C333" i="6"/>
  <c r="E335" i="6"/>
  <c r="C341" i="6"/>
  <c r="B36" i="3"/>
  <c r="B79" i="3" s="1"/>
  <c r="B124" i="3" s="1"/>
  <c r="B18" i="5"/>
  <c r="B27" i="5"/>
  <c r="B51" i="5"/>
  <c r="E31" i="22"/>
  <c r="T20" i="19"/>
  <c r="E94" i="6"/>
  <c r="E142" i="6"/>
  <c r="C265" i="6"/>
  <c r="E269" i="6"/>
  <c r="E277" i="6"/>
  <c r="E285" i="6"/>
  <c r="E293" i="6"/>
  <c r="E301" i="6"/>
  <c r="E309" i="6"/>
  <c r="E317" i="6"/>
  <c r="E325" i="6"/>
  <c r="F31" i="22"/>
  <c r="E32" i="22"/>
  <c r="D159" i="22"/>
  <c r="F161" i="22"/>
  <c r="F251" i="6"/>
  <c r="E102" i="6"/>
  <c r="E110" i="6"/>
  <c r="E121" i="6"/>
  <c r="C257" i="6"/>
  <c r="E261" i="6"/>
  <c r="C281" i="6"/>
  <c r="C297" i="6"/>
  <c r="C313" i="6"/>
  <c r="E18" i="6"/>
  <c r="E42" i="6"/>
  <c r="E44" i="6"/>
  <c r="E46" i="6"/>
  <c r="E48" i="6"/>
  <c r="E50" i="6"/>
  <c r="E52" i="6"/>
  <c r="E54" i="6"/>
  <c r="E56" i="6"/>
  <c r="E58" i="6"/>
  <c r="E60" i="6"/>
  <c r="E62" i="6"/>
  <c r="E64" i="6"/>
  <c r="E66" i="6"/>
  <c r="E96" i="6"/>
  <c r="E104" i="6"/>
  <c r="E108" i="6"/>
  <c r="E152" i="6"/>
  <c r="E154" i="6"/>
  <c r="E162" i="6"/>
  <c r="C259" i="6"/>
  <c r="E263" i="6"/>
  <c r="C267" i="6"/>
  <c r="E271" i="6"/>
  <c r="C275" i="6"/>
  <c r="E279" i="6"/>
  <c r="C283" i="6"/>
  <c r="E287" i="6"/>
  <c r="C291" i="6"/>
  <c r="E295" i="6"/>
  <c r="C299" i="6"/>
  <c r="E303" i="6"/>
  <c r="C307" i="6"/>
  <c r="E311" i="6"/>
  <c r="C315" i="6"/>
  <c r="E319" i="6"/>
  <c r="C323" i="6"/>
  <c r="E327" i="6"/>
  <c r="F32" i="22"/>
  <c r="E33" i="22"/>
  <c r="E159" i="22"/>
  <c r="D160" i="22"/>
  <c r="P41" i="19"/>
  <c r="J51" i="19"/>
  <c r="E26" i="6"/>
  <c r="E156" i="6"/>
  <c r="C273" i="6"/>
  <c r="C289" i="6"/>
  <c r="C305" i="6"/>
  <c r="C321" i="6"/>
  <c r="E20" i="6"/>
  <c r="E22" i="6"/>
  <c r="E79" i="6"/>
  <c r="E81" i="6"/>
  <c r="E83" i="6"/>
  <c r="E85" i="6"/>
  <c r="E87" i="6"/>
  <c r="E98" i="6"/>
  <c r="E106" i="6"/>
  <c r="E114" i="6"/>
  <c r="E131" i="6"/>
  <c r="E150" i="6"/>
  <c r="E160" i="6"/>
  <c r="E257" i="6"/>
  <c r="C261" i="6"/>
  <c r="E265" i="6"/>
  <c r="C269" i="6"/>
  <c r="E273" i="6"/>
  <c r="C277" i="6"/>
  <c r="E281" i="6"/>
  <c r="C285" i="6"/>
  <c r="E289" i="6"/>
  <c r="C293" i="6"/>
  <c r="E297" i="6"/>
  <c r="C301" i="6"/>
  <c r="E305" i="6"/>
  <c r="C309" i="6"/>
  <c r="E313" i="6"/>
  <c r="C317" i="6"/>
  <c r="E321" i="6"/>
  <c r="F159" i="22"/>
  <c r="E160" i="22"/>
  <c r="D161" i="22"/>
  <c r="L26" i="3"/>
  <c r="H26" i="3"/>
  <c r="D26" i="3"/>
  <c r="M26" i="3"/>
  <c r="G26" i="3"/>
  <c r="K26" i="3"/>
  <c r="F26" i="3"/>
  <c r="I26" i="3"/>
  <c r="O26" i="3"/>
  <c r="D70" i="3" s="1"/>
  <c r="J26" i="3"/>
  <c r="E26" i="3"/>
  <c r="N26" i="3"/>
  <c r="A174" i="6"/>
  <c r="A249" i="6" s="1"/>
  <c r="A251" i="6"/>
  <c r="A253" i="6" s="1"/>
  <c r="A256" i="6" s="1"/>
  <c r="A330" i="6" s="1"/>
  <c r="E14" i="2"/>
  <c r="C25" i="3"/>
  <c r="E156" i="22"/>
  <c r="F155" i="22"/>
  <c r="C154" i="22"/>
  <c r="F99" i="22"/>
  <c r="C98" i="22"/>
  <c r="D97" i="22"/>
  <c r="D156" i="22"/>
  <c r="E155" i="22"/>
  <c r="F154" i="22"/>
  <c r="B154" i="22" s="1"/>
  <c r="E133" i="6" s="1"/>
  <c r="E99" i="22"/>
  <c r="F98" i="22"/>
  <c r="C97" i="22"/>
  <c r="D154" i="22"/>
  <c r="E98" i="22"/>
  <c r="D155" i="22"/>
  <c r="D98" i="22"/>
  <c r="F156" i="22"/>
  <c r="C155" i="22"/>
  <c r="D99" i="22"/>
  <c r="F97" i="22"/>
  <c r="B97" i="22" s="1"/>
  <c r="B133" i="6" s="1"/>
  <c r="F133" i="6" s="1"/>
  <c r="C156" i="22"/>
  <c r="E154" i="22"/>
  <c r="C99" i="22"/>
  <c r="E97" i="22"/>
  <c r="C158" i="22"/>
  <c r="D105" i="22"/>
  <c r="F158" i="22"/>
  <c r="C105" i="22"/>
  <c r="E158" i="22"/>
  <c r="F105" i="22"/>
  <c r="B105" i="22" s="1"/>
  <c r="B148" i="6" s="1"/>
  <c r="F148" i="6" s="1"/>
  <c r="D158" i="22"/>
  <c r="E105" i="22"/>
  <c r="D153" i="22"/>
  <c r="E152" i="22"/>
  <c r="F151" i="22"/>
  <c r="B151" i="22" s="1"/>
  <c r="E125" i="6" s="1"/>
  <c r="F95" i="22"/>
  <c r="B95" i="22" s="1"/>
  <c r="B129" i="6" s="1"/>
  <c r="F129" i="6" s="1"/>
  <c r="C94" i="22"/>
  <c r="D93" i="22"/>
  <c r="C153" i="22"/>
  <c r="D152" i="22"/>
  <c r="E151" i="22"/>
  <c r="E95" i="22"/>
  <c r="F94" i="22"/>
  <c r="B94" i="22" s="1"/>
  <c r="B127" i="6" s="1"/>
  <c r="F127" i="6" s="1"/>
  <c r="G129" i="6" s="1"/>
  <c r="C93" i="22"/>
  <c r="F152" i="22"/>
  <c r="C151" i="22"/>
  <c r="E94" i="22"/>
  <c r="F153" i="22"/>
  <c r="B153" i="22" s="1"/>
  <c r="E129" i="6" s="1"/>
  <c r="C152" i="22"/>
  <c r="D94" i="22"/>
  <c r="E153" i="22"/>
  <c r="D95" i="22"/>
  <c r="F93" i="22"/>
  <c r="C95" i="22"/>
  <c r="E93" i="22"/>
  <c r="D151" i="22"/>
  <c r="G125" i="6"/>
  <c r="N25" i="3"/>
  <c r="J25" i="3"/>
  <c r="F25" i="3"/>
  <c r="I13" i="2"/>
  <c r="C4" i="5"/>
  <c r="H24" i="3"/>
  <c r="H25" i="3"/>
  <c r="M25" i="3"/>
  <c r="G133" i="6"/>
  <c r="D157" i="22"/>
  <c r="F103" i="22"/>
  <c r="B103" i="22" s="1"/>
  <c r="B144" i="6" s="1"/>
  <c r="F144" i="6" s="1"/>
  <c r="C157" i="22"/>
  <c r="E103" i="22"/>
  <c r="E157" i="22"/>
  <c r="D103" i="22"/>
  <c r="C103" i="22"/>
  <c r="F157" i="22"/>
  <c r="M24" i="3"/>
  <c r="I24" i="3"/>
  <c r="E24" i="3"/>
  <c r="C7" i="4"/>
  <c r="D24" i="3"/>
  <c r="J24" i="3"/>
  <c r="O24" i="3"/>
  <c r="D68" i="3" s="1"/>
  <c r="D25" i="3"/>
  <c r="I25" i="3"/>
  <c r="O25" i="3"/>
  <c r="D69" i="3" s="1"/>
  <c r="T9" i="21"/>
  <c r="O9" i="21"/>
  <c r="V9" i="21"/>
  <c r="P9" i="21"/>
  <c r="B13" i="5"/>
  <c r="C22" i="5"/>
  <c r="D22" i="5" s="1"/>
  <c r="E22" i="5" s="1"/>
  <c r="F22" i="5" s="1"/>
  <c r="G22" i="5" s="1"/>
  <c r="H22" i="5" s="1"/>
  <c r="I22" i="5" s="1"/>
  <c r="J22" i="5" s="1"/>
  <c r="K22" i="5" s="1"/>
  <c r="L22" i="5" s="1"/>
  <c r="M22" i="5" s="1"/>
  <c r="N22" i="5" s="1"/>
  <c r="C10" i="3"/>
  <c r="P10" i="3" s="1"/>
  <c r="F24" i="3"/>
  <c r="K24" i="3"/>
  <c r="E25" i="3"/>
  <c r="K25" i="3"/>
  <c r="D304" i="22"/>
  <c r="B304" i="22" s="1"/>
  <c r="G3" i="5" s="1"/>
  <c r="A3" i="21"/>
  <c r="B88" i="5"/>
  <c r="B56" i="5"/>
  <c r="B64" i="5"/>
  <c r="B15" i="5"/>
  <c r="B92" i="5"/>
  <c r="B84" i="5"/>
  <c r="B76" i="5"/>
  <c r="B68" i="5"/>
  <c r="B60" i="5"/>
  <c r="B52" i="5"/>
  <c r="B44" i="5"/>
  <c r="B36" i="5"/>
  <c r="B28" i="5"/>
  <c r="B20" i="5"/>
  <c r="B90" i="5"/>
  <c r="B82" i="5"/>
  <c r="B74" i="5"/>
  <c r="B66" i="5"/>
  <c r="B58" i="5"/>
  <c r="B50" i="5"/>
  <c r="N22" i="19"/>
  <c r="T19" i="19"/>
  <c r="N19" i="19"/>
  <c r="T23" i="19"/>
  <c r="N21" i="19"/>
  <c r="J36" i="19"/>
  <c r="J44" i="19"/>
  <c r="P36" i="19"/>
  <c r="J41" i="19"/>
  <c r="F116" i="22" l="1"/>
  <c r="B159" i="22"/>
  <c r="C167" i="6" s="1"/>
  <c r="B160" i="22"/>
  <c r="C169" i="6" s="1"/>
  <c r="B161" i="22"/>
  <c r="C171" i="6" s="1"/>
  <c r="F149" i="22"/>
  <c r="C117" i="22"/>
  <c r="C162" i="22"/>
  <c r="C163" i="22"/>
  <c r="F117" i="22"/>
  <c r="F164" i="22"/>
  <c r="E162" i="22"/>
  <c r="D164" i="22"/>
  <c r="E163" i="22"/>
  <c r="F163" i="22"/>
  <c r="E118" i="22"/>
  <c r="C116" i="22"/>
  <c r="D116" i="22"/>
  <c r="H6" i="18"/>
  <c r="K101" i="3" s="1"/>
  <c r="D163" i="22"/>
  <c r="D118" i="22"/>
  <c r="B118" i="22" s="1"/>
  <c r="B171" i="6" s="1"/>
  <c r="F118" i="22"/>
  <c r="C118" i="22"/>
  <c r="E117" i="22"/>
  <c r="D162" i="22"/>
  <c r="C164" i="22"/>
  <c r="F162" i="22"/>
  <c r="D117" i="22"/>
  <c r="E164" i="22"/>
  <c r="C4" i="2"/>
  <c r="E4" i="2" s="1"/>
  <c r="D149" i="22"/>
  <c r="C149" i="22"/>
  <c r="F45" i="22"/>
  <c r="E148" i="22"/>
  <c r="D9" i="2"/>
  <c r="E9" i="2" s="1"/>
  <c r="F44" i="22"/>
  <c r="E44" i="22"/>
  <c r="E45" i="22"/>
  <c r="D45" i="22"/>
  <c r="D44" i="22"/>
  <c r="F116" i="6"/>
  <c r="B156" i="22"/>
  <c r="E137" i="6" s="1"/>
  <c r="B157" i="22"/>
  <c r="E144" i="6" s="1"/>
  <c r="B99" i="22"/>
  <c r="B137" i="6" s="1"/>
  <c r="F137" i="6" s="1"/>
  <c r="G156" i="18" s="1"/>
  <c r="B93" i="22"/>
  <c r="B125" i="6" s="1"/>
  <c r="F125" i="6" s="1"/>
  <c r="H118" i="3" s="1"/>
  <c r="B152" i="22"/>
  <c r="E127" i="6" s="1"/>
  <c r="B158" i="22"/>
  <c r="E148" i="6" s="1"/>
  <c r="B98" i="22"/>
  <c r="B135" i="6" s="1"/>
  <c r="F135" i="6" s="1"/>
  <c r="G137" i="6" s="1"/>
  <c r="B155" i="22"/>
  <c r="E135" i="6" s="1"/>
  <c r="B65" i="22"/>
  <c r="E73" i="6" s="1"/>
  <c r="C13" i="2"/>
  <c r="H157" i="18"/>
  <c r="D33" i="22"/>
  <c r="B33" i="22" s="1"/>
  <c r="F13" i="6" s="1"/>
  <c r="B125" i="3" s="1"/>
  <c r="D65" i="22"/>
  <c r="D31" i="22"/>
  <c r="D276" i="22"/>
  <c r="C31" i="22"/>
  <c r="B31" i="22" s="1"/>
  <c r="C32" i="22"/>
  <c r="B32" i="22" s="1"/>
  <c r="D13" i="6" s="1"/>
  <c r="C276" i="22"/>
  <c r="B276" i="22" s="1"/>
  <c r="B46" i="4" s="1"/>
  <c r="C7" i="2"/>
  <c r="E7" i="2" s="1"/>
  <c r="D13" i="2"/>
  <c r="C19" i="3"/>
  <c r="C5" i="2"/>
  <c r="E5" i="2" s="1"/>
  <c r="D8" i="2"/>
  <c r="E8" i="2" s="1"/>
  <c r="U9" i="21"/>
  <c r="B6" i="19"/>
  <c r="D148" i="22"/>
  <c r="F37" i="6"/>
  <c r="F71" i="6" s="1"/>
  <c r="F148" i="22"/>
  <c r="S18" i="18"/>
  <c r="C148" i="22"/>
  <c r="F35" i="6"/>
  <c r="F69" i="6" s="1"/>
  <c r="C45" i="22"/>
  <c r="D37" i="6"/>
  <c r="D71" i="6" s="1"/>
  <c r="C44" i="22"/>
  <c r="D35" i="6"/>
  <c r="D69" i="6" s="1"/>
  <c r="R16" i="18"/>
  <c r="G155" i="18"/>
  <c r="E69" i="3"/>
  <c r="F69" i="3" s="1"/>
  <c r="G69" i="3" s="1"/>
  <c r="H69" i="3" s="1"/>
  <c r="I69" i="3" s="1"/>
  <c r="J69" i="3" s="1"/>
  <c r="K69" i="3" s="1"/>
  <c r="L69" i="3" s="1"/>
  <c r="M69" i="3" s="1"/>
  <c r="N69" i="3" s="1"/>
  <c r="O69" i="3" s="1"/>
  <c r="D114" i="3" s="1"/>
  <c r="C17" i="4"/>
  <c r="R14" i="18"/>
  <c r="G153" i="18"/>
  <c r="E70" i="3"/>
  <c r="F70" i="3" s="1"/>
  <c r="G70" i="3" s="1"/>
  <c r="H70" i="3" s="1"/>
  <c r="I70" i="3" s="1"/>
  <c r="J70" i="3" s="1"/>
  <c r="K70" i="3" s="1"/>
  <c r="L70" i="3" s="1"/>
  <c r="M70" i="3" s="1"/>
  <c r="N70" i="3" s="1"/>
  <c r="O70" i="3" s="1"/>
  <c r="D115" i="3" s="1"/>
  <c r="E68" i="3"/>
  <c r="F68" i="3" s="1"/>
  <c r="G68" i="3" s="1"/>
  <c r="H68" i="3" s="1"/>
  <c r="I68" i="3" s="1"/>
  <c r="J68" i="3" s="1"/>
  <c r="K68" i="3" s="1"/>
  <c r="L68" i="3" s="1"/>
  <c r="M68" i="3" s="1"/>
  <c r="N68" i="3" s="1"/>
  <c r="O68" i="3" s="1"/>
  <c r="D113" i="3" s="1"/>
  <c r="C30" i="5"/>
  <c r="D30" i="5" s="1"/>
  <c r="E30" i="5" s="1"/>
  <c r="F30" i="5" s="1"/>
  <c r="G30" i="5" s="1"/>
  <c r="H30" i="5" s="1"/>
  <c r="I30" i="5" s="1"/>
  <c r="J30" i="5" s="1"/>
  <c r="K30" i="5" s="1"/>
  <c r="L30" i="5" s="1"/>
  <c r="M30" i="5" s="1"/>
  <c r="N30" i="5" s="1"/>
  <c r="B22" i="5"/>
  <c r="P24" i="3"/>
  <c r="C23" i="4" s="1"/>
  <c r="M100" i="3"/>
  <c r="I100" i="3"/>
  <c r="E100" i="3"/>
  <c r="L100" i="3"/>
  <c r="H100" i="3"/>
  <c r="D100" i="3"/>
  <c r="J100" i="3"/>
  <c r="O100" i="3"/>
  <c r="G100" i="3"/>
  <c r="N55" i="3"/>
  <c r="J55" i="3"/>
  <c r="F55" i="3"/>
  <c r="L11" i="3"/>
  <c r="H11" i="3"/>
  <c r="D11" i="3"/>
  <c r="K100" i="3"/>
  <c r="F100" i="3"/>
  <c r="K55" i="3"/>
  <c r="E55" i="3"/>
  <c r="K11" i="3"/>
  <c r="F11" i="3"/>
  <c r="G11" i="3"/>
  <c r="O55" i="3"/>
  <c r="I55" i="3"/>
  <c r="D55" i="3"/>
  <c r="O11" i="3"/>
  <c r="J11" i="3"/>
  <c r="E11" i="3"/>
  <c r="N100" i="3"/>
  <c r="L55" i="3"/>
  <c r="G55" i="3"/>
  <c r="M11" i="3"/>
  <c r="M55" i="3"/>
  <c r="H55" i="3"/>
  <c r="N11" i="3"/>
  <c r="I11" i="3"/>
  <c r="C10" i="21"/>
  <c r="B10" i="21"/>
  <c r="E10" i="21"/>
  <c r="F10" i="21" s="1"/>
  <c r="G10" i="21" s="1"/>
  <c r="C3" i="5"/>
  <c r="G154" i="18"/>
  <c r="R15" i="18"/>
  <c r="P25" i="3"/>
  <c r="C24" i="4" s="1"/>
  <c r="P26" i="3"/>
  <c r="C25" i="4" s="1"/>
  <c r="B117" i="22" l="1"/>
  <c r="B169" i="6" s="1"/>
  <c r="F169" i="6" s="1"/>
  <c r="E101" i="3"/>
  <c r="B116" i="22"/>
  <c r="B167" i="6" s="1"/>
  <c r="D169" i="6" s="1"/>
  <c r="I101" i="3"/>
  <c r="I102" i="3" s="1"/>
  <c r="B149" i="22"/>
  <c r="B162" i="22"/>
  <c r="E167" i="6" s="1"/>
  <c r="B163" i="22"/>
  <c r="E169" i="6" s="1"/>
  <c r="B164" i="22"/>
  <c r="E171" i="6" s="1"/>
  <c r="H12" i="3"/>
  <c r="H13" i="3" s="1"/>
  <c r="K12" i="3"/>
  <c r="K13" i="3" s="1"/>
  <c r="I12" i="3"/>
  <c r="I13" i="3" s="1"/>
  <c r="F101" i="3"/>
  <c r="F102" i="3" s="1"/>
  <c r="E56" i="3"/>
  <c r="E57" i="3" s="1"/>
  <c r="F12" i="3"/>
  <c r="F13" i="3" s="1"/>
  <c r="D56" i="3"/>
  <c r="D57" i="3" s="1"/>
  <c r="J12" i="3"/>
  <c r="J13" i="3" s="1"/>
  <c r="J56" i="3"/>
  <c r="J57" i="3" s="1"/>
  <c r="L101" i="3"/>
  <c r="L102" i="3" s="1"/>
  <c r="K56" i="3"/>
  <c r="K57" i="3" s="1"/>
  <c r="J101" i="3"/>
  <c r="J102" i="3" s="1"/>
  <c r="M101" i="3"/>
  <c r="M102" i="3" s="1"/>
  <c r="M12" i="3"/>
  <c r="M13" i="3" s="1"/>
  <c r="O101" i="3"/>
  <c r="O102" i="3" s="1"/>
  <c r="M56" i="3"/>
  <c r="M57" i="3" s="1"/>
  <c r="N56" i="3"/>
  <c r="N57" i="3" s="1"/>
  <c r="H56" i="3"/>
  <c r="H57" i="3" s="1"/>
  <c r="I56" i="3"/>
  <c r="N12" i="3"/>
  <c r="N13" i="3" s="1"/>
  <c r="F56" i="3"/>
  <c r="F57" i="3" s="1"/>
  <c r="E12" i="3"/>
  <c r="E13" i="3" s="1"/>
  <c r="L12" i="3"/>
  <c r="L13" i="3" s="1"/>
  <c r="D12" i="3"/>
  <c r="D13" i="3" s="1"/>
  <c r="L56" i="3"/>
  <c r="L57" i="3" s="1"/>
  <c r="G12" i="3"/>
  <c r="G13" i="3" s="1"/>
  <c r="G101" i="3"/>
  <c r="G102" i="3" s="1"/>
  <c r="G56" i="3"/>
  <c r="G57" i="3" s="1"/>
  <c r="O12" i="3"/>
  <c r="O13" i="3" s="1"/>
  <c r="D101" i="3"/>
  <c r="D102" i="3" s="1"/>
  <c r="N101" i="3"/>
  <c r="N102" i="3" s="1"/>
  <c r="H101" i="3"/>
  <c r="H102" i="3" s="1"/>
  <c r="O56" i="3"/>
  <c r="O57" i="3" s="1"/>
  <c r="F17" i="6"/>
  <c r="F34" i="6" s="1"/>
  <c r="D15" i="2"/>
  <c r="C27" i="3" s="1"/>
  <c r="B41" i="4"/>
  <c r="R17" i="18"/>
  <c r="H73" i="3"/>
  <c r="I73" i="3"/>
  <c r="K118" i="3"/>
  <c r="N30" i="3"/>
  <c r="K73" i="3"/>
  <c r="O73" i="3"/>
  <c r="M73" i="3"/>
  <c r="O118" i="3"/>
  <c r="D73" i="3"/>
  <c r="O30" i="3"/>
  <c r="G73" i="3"/>
  <c r="D30" i="3"/>
  <c r="N73" i="3"/>
  <c r="L118" i="3"/>
  <c r="F73" i="3"/>
  <c r="I118" i="3"/>
  <c r="H30" i="3"/>
  <c r="E118" i="3"/>
  <c r="L73" i="3"/>
  <c r="G30" i="3"/>
  <c r="L30" i="3"/>
  <c r="M118" i="3"/>
  <c r="D118" i="3"/>
  <c r="B80" i="3"/>
  <c r="K1" i="19"/>
  <c r="E30" i="3"/>
  <c r="F30" i="3"/>
  <c r="F118" i="3"/>
  <c r="J118" i="3"/>
  <c r="J30" i="3"/>
  <c r="I30" i="3"/>
  <c r="K30" i="3"/>
  <c r="M30" i="3"/>
  <c r="N118" i="3"/>
  <c r="E73" i="3"/>
  <c r="J73" i="3"/>
  <c r="G118" i="3"/>
  <c r="B3" i="19"/>
  <c r="H1" i="19" s="1"/>
  <c r="B37" i="3"/>
  <c r="H3" i="19"/>
  <c r="B45" i="22"/>
  <c r="B32" i="6" s="1"/>
  <c r="E102" i="3"/>
  <c r="B35" i="3"/>
  <c r="D17" i="6"/>
  <c r="C64" i="6" s="1"/>
  <c r="B78" i="3"/>
  <c r="C3" i="19"/>
  <c r="A19" i="19" s="1"/>
  <c r="Q1" i="19"/>
  <c r="B36" i="4"/>
  <c r="B123" i="3"/>
  <c r="D14" i="6"/>
  <c r="F14" i="6" s="1"/>
  <c r="E13" i="2"/>
  <c r="C18" i="3"/>
  <c r="P18" i="3" s="1"/>
  <c r="E26" i="4"/>
  <c r="E52" i="4" s="1"/>
  <c r="D26" i="4"/>
  <c r="D52" i="4" s="1"/>
  <c r="C18" i="2"/>
  <c r="I4" i="2" s="1"/>
  <c r="I7" i="2" s="1"/>
  <c r="C26" i="4"/>
  <c r="C52" i="4" s="1"/>
  <c r="G7" i="18"/>
  <c r="B44" i="22"/>
  <c r="B30" i="6" s="1"/>
  <c r="D72" i="6"/>
  <c r="F72" i="6"/>
  <c r="H7" i="18"/>
  <c r="B148" i="22"/>
  <c r="E30" i="6" s="1"/>
  <c r="D167" i="6"/>
  <c r="D237" i="6" s="1"/>
  <c r="P100" i="3"/>
  <c r="E7" i="4" s="1"/>
  <c r="C38" i="5"/>
  <c r="D38" i="5" s="1"/>
  <c r="E38" i="5" s="1"/>
  <c r="F38" i="5" s="1"/>
  <c r="G38" i="5" s="1"/>
  <c r="H38" i="5" s="1"/>
  <c r="I38" i="5" s="1"/>
  <c r="J38" i="5" s="1"/>
  <c r="K38" i="5" s="1"/>
  <c r="L38" i="5" s="1"/>
  <c r="M38" i="5" s="1"/>
  <c r="N38" i="5" s="1"/>
  <c r="B30" i="5"/>
  <c r="E113" i="3"/>
  <c r="G113" i="3" s="1"/>
  <c r="H113" i="3" s="1"/>
  <c r="I113" i="3" s="1"/>
  <c r="J113" i="3" s="1"/>
  <c r="K113" i="3" s="1"/>
  <c r="L113" i="3" s="1"/>
  <c r="M113" i="3" s="1"/>
  <c r="N113" i="3" s="1"/>
  <c r="O113" i="3" s="1"/>
  <c r="E115" i="3"/>
  <c r="F115" i="3" s="1"/>
  <c r="G115" i="3" s="1"/>
  <c r="H115" i="3" s="1"/>
  <c r="I115" i="3" s="1"/>
  <c r="J115" i="3" s="1"/>
  <c r="K115" i="3" s="1"/>
  <c r="L115" i="3" s="1"/>
  <c r="M115" i="3" s="1"/>
  <c r="N115" i="3" s="1"/>
  <c r="O115" i="3" s="1"/>
  <c r="M22" i="3"/>
  <c r="I22" i="3"/>
  <c r="E22" i="3"/>
  <c r="N22" i="3"/>
  <c r="H22" i="3"/>
  <c r="J22" i="3"/>
  <c r="L22" i="3"/>
  <c r="G22" i="3"/>
  <c r="O22" i="3"/>
  <c r="D66" i="3" s="1"/>
  <c r="K22" i="3"/>
  <c r="F22" i="3"/>
  <c r="D22" i="3"/>
  <c r="O23" i="3"/>
  <c r="K23" i="3"/>
  <c r="K27" i="3" s="1"/>
  <c r="G23" i="3"/>
  <c r="G27" i="3" s="1"/>
  <c r="N23" i="3"/>
  <c r="N27" i="3" s="1"/>
  <c r="I23" i="3"/>
  <c r="I27" i="3" s="1"/>
  <c r="D23" i="3"/>
  <c r="M23" i="3"/>
  <c r="M27" i="3" s="1"/>
  <c r="H23" i="3"/>
  <c r="H27" i="3" s="1"/>
  <c r="J23" i="3"/>
  <c r="J27" i="3" s="1"/>
  <c r="L23" i="3"/>
  <c r="L27" i="3" s="1"/>
  <c r="F23" i="3"/>
  <c r="F27" i="3" s="1"/>
  <c r="E23" i="3"/>
  <c r="E27" i="3" s="1"/>
  <c r="P55" i="3"/>
  <c r="D7" i="4" s="1"/>
  <c r="P68" i="3"/>
  <c r="D23" i="4" s="1"/>
  <c r="P70" i="3"/>
  <c r="D25" i="4" s="1"/>
  <c r="B11" i="21"/>
  <c r="C11" i="21"/>
  <c r="O10" i="21"/>
  <c r="P10" i="21"/>
  <c r="E11" i="21"/>
  <c r="F11" i="21" s="1"/>
  <c r="G11" i="21" s="1"/>
  <c r="P69" i="3"/>
  <c r="D24" i="4" s="1"/>
  <c r="P11" i="3"/>
  <c r="K102" i="3"/>
  <c r="E114" i="3"/>
  <c r="F114" i="3" s="1"/>
  <c r="G114" i="3" s="1"/>
  <c r="H114" i="3" s="1"/>
  <c r="I114" i="3" s="1"/>
  <c r="J114" i="3" s="1"/>
  <c r="K114" i="3" s="1"/>
  <c r="L114" i="3" s="1"/>
  <c r="M114" i="3" s="1"/>
  <c r="N114" i="3" s="1"/>
  <c r="O114" i="3" s="1"/>
  <c r="N119" i="3"/>
  <c r="J119" i="3"/>
  <c r="F119" i="3"/>
  <c r="M119" i="3"/>
  <c r="I119" i="3"/>
  <c r="E119" i="3"/>
  <c r="O119" i="3"/>
  <c r="G119" i="3"/>
  <c r="L74" i="3"/>
  <c r="H74" i="3"/>
  <c r="D74" i="3"/>
  <c r="L119" i="3"/>
  <c r="D119" i="3"/>
  <c r="O74" i="3"/>
  <c r="K74" i="3"/>
  <c r="G74" i="3"/>
  <c r="N31" i="3"/>
  <c r="J31" i="3"/>
  <c r="F31" i="3"/>
  <c r="H119" i="3"/>
  <c r="M74" i="3"/>
  <c r="I74" i="3"/>
  <c r="E74" i="3"/>
  <c r="F74" i="3"/>
  <c r="O31" i="3"/>
  <c r="I31" i="3"/>
  <c r="D31" i="3"/>
  <c r="M31" i="3"/>
  <c r="H31" i="3"/>
  <c r="K31" i="3"/>
  <c r="N74" i="3"/>
  <c r="L31" i="3"/>
  <c r="G31" i="3"/>
  <c r="K119" i="3"/>
  <c r="J74" i="3"/>
  <c r="E31" i="3"/>
  <c r="I103" i="3" l="1"/>
  <c r="F330" i="6"/>
  <c r="P56" i="3"/>
  <c r="D12" i="4" s="1"/>
  <c r="D15" i="4" s="1"/>
  <c r="F76" i="6"/>
  <c r="F68" i="6"/>
  <c r="F41" i="6"/>
  <c r="I57" i="3"/>
  <c r="I104" i="3"/>
  <c r="P101" i="3"/>
  <c r="E12" i="4" s="1"/>
  <c r="E15" i="4" s="1"/>
  <c r="P12" i="3"/>
  <c r="N14" i="3"/>
  <c r="H14" i="3"/>
  <c r="F14" i="3"/>
  <c r="K14" i="3"/>
  <c r="M14" i="3"/>
  <c r="D15" i="3"/>
  <c r="G14" i="3"/>
  <c r="O14" i="3"/>
  <c r="I14" i="3"/>
  <c r="J14" i="3"/>
  <c r="E14" i="3"/>
  <c r="L14" i="3"/>
  <c r="H58" i="3"/>
  <c r="D104" i="3"/>
  <c r="N103" i="3"/>
  <c r="L103" i="3"/>
  <c r="M103" i="3"/>
  <c r="E103" i="3"/>
  <c r="G58" i="3"/>
  <c r="M59" i="3"/>
  <c r="K103" i="3"/>
  <c r="E58" i="3"/>
  <c r="J58" i="3"/>
  <c r="H103" i="3"/>
  <c r="L58" i="3"/>
  <c r="K58" i="3"/>
  <c r="F103" i="3"/>
  <c r="N58" i="3"/>
  <c r="J103" i="3"/>
  <c r="F58" i="3"/>
  <c r="D58" i="3"/>
  <c r="O58" i="3"/>
  <c r="O103" i="3"/>
  <c r="Q3" i="19"/>
  <c r="T29" i="19" s="1"/>
  <c r="D14" i="3"/>
  <c r="P30" i="3"/>
  <c r="C30" i="4" s="1"/>
  <c r="P73" i="3"/>
  <c r="D30" i="4" s="1"/>
  <c r="P118" i="3"/>
  <c r="E30" i="4" s="1"/>
  <c r="C79" i="6"/>
  <c r="C73" i="6"/>
  <c r="A14" i="19"/>
  <c r="K3" i="19"/>
  <c r="N29" i="19" s="1"/>
  <c r="O104" i="3"/>
  <c r="L15" i="3"/>
  <c r="H104" i="3"/>
  <c r="M15" i="3"/>
  <c r="D103" i="3"/>
  <c r="N104" i="3"/>
  <c r="M58" i="3"/>
  <c r="O59" i="3"/>
  <c r="C48" i="6"/>
  <c r="C66" i="6"/>
  <c r="C44" i="6"/>
  <c r="E104" i="3"/>
  <c r="K15" i="3"/>
  <c r="P115" i="3"/>
  <c r="E25" i="4" s="1"/>
  <c r="D59" i="3"/>
  <c r="C30" i="6"/>
  <c r="C85" i="6"/>
  <c r="C37" i="6"/>
  <c r="C46" i="6"/>
  <c r="C62" i="6"/>
  <c r="C14" i="6"/>
  <c r="C18" i="6"/>
  <c r="D330" i="6"/>
  <c r="C24" i="6"/>
  <c r="C87" i="6"/>
  <c r="C69" i="6"/>
  <c r="D76" i="6"/>
  <c r="C42" i="6"/>
  <c r="E15" i="3"/>
  <c r="D34" i="6"/>
  <c r="C35" i="6"/>
  <c r="C54" i="6"/>
  <c r="C71" i="6"/>
  <c r="C28" i="6"/>
  <c r="C20" i="6"/>
  <c r="C58" i="6"/>
  <c r="C60" i="6"/>
  <c r="D68" i="6"/>
  <c r="C81" i="6"/>
  <c r="C77" i="6"/>
  <c r="C56" i="6"/>
  <c r="C32" i="6"/>
  <c r="C50" i="6"/>
  <c r="C52" i="6"/>
  <c r="C22" i="6"/>
  <c r="C83" i="6"/>
  <c r="C26" i="6"/>
  <c r="D41" i="6"/>
  <c r="F59" i="3"/>
  <c r="J59" i="3"/>
  <c r="M104" i="3"/>
  <c r="H15" i="3"/>
  <c r="N15" i="3"/>
  <c r="J104" i="3"/>
  <c r="J15" i="3"/>
  <c r="G59" i="3"/>
  <c r="K108" i="3"/>
  <c r="F209" i="6"/>
  <c r="I64" i="3" s="1"/>
  <c r="F211" i="6"/>
  <c r="J64" i="3" s="1"/>
  <c r="F215" i="6"/>
  <c r="L64" i="3" s="1"/>
  <c r="F193" i="6"/>
  <c r="M20" i="3" s="1"/>
  <c r="F243" i="6"/>
  <c r="N109" i="3" s="1"/>
  <c r="F199" i="6"/>
  <c r="D64" i="3" s="1"/>
  <c r="F229" i="6"/>
  <c r="G109" i="3" s="1"/>
  <c r="F177" i="6"/>
  <c r="E20" i="3" s="1"/>
  <c r="F179" i="6"/>
  <c r="F20" i="3" s="1"/>
  <c r="D209" i="6"/>
  <c r="I63" i="3" s="1"/>
  <c r="E15" i="2"/>
  <c r="E32" i="6"/>
  <c r="C13" i="4"/>
  <c r="C14" i="4" s="1"/>
  <c r="C15" i="4" s="1"/>
  <c r="F241" i="6"/>
  <c r="M109" i="3" s="1"/>
  <c r="F239" i="6"/>
  <c r="L109" i="3" s="1"/>
  <c r="F191" i="6"/>
  <c r="L20" i="3" s="1"/>
  <c r="F175" i="6"/>
  <c r="D20" i="3" s="1"/>
  <c r="F201" i="6"/>
  <c r="E64" i="3" s="1"/>
  <c r="F185" i="6"/>
  <c r="I20" i="3" s="1"/>
  <c r="F225" i="6"/>
  <c r="E109" i="3" s="1"/>
  <c r="F245" i="6"/>
  <c r="O109" i="3" s="1"/>
  <c r="F203" i="6"/>
  <c r="F64" i="3" s="1"/>
  <c r="F235" i="6"/>
  <c r="J109" i="3" s="1"/>
  <c r="D183" i="6"/>
  <c r="H19" i="3" s="1"/>
  <c r="F207" i="6"/>
  <c r="H64" i="3" s="1"/>
  <c r="F223" i="6"/>
  <c r="D109" i="3" s="1"/>
  <c r="F181" i="6"/>
  <c r="G20" i="3" s="1"/>
  <c r="F221" i="6"/>
  <c r="O64" i="3" s="1"/>
  <c r="F205" i="6"/>
  <c r="G64" i="3" s="1"/>
  <c r="F237" i="6"/>
  <c r="K109" i="3" s="1"/>
  <c r="F187" i="6"/>
  <c r="J20" i="3" s="1"/>
  <c r="F219" i="6"/>
  <c r="N64" i="3" s="1"/>
  <c r="F197" i="6"/>
  <c r="O20" i="3" s="1"/>
  <c r="F231" i="6"/>
  <c r="H109" i="3" s="1"/>
  <c r="F183" i="6"/>
  <c r="H20" i="3" s="1"/>
  <c r="F189" i="6"/>
  <c r="K20" i="3" s="1"/>
  <c r="F233" i="6"/>
  <c r="I109" i="3" s="1"/>
  <c r="F213" i="6"/>
  <c r="K64" i="3" s="1"/>
  <c r="F195" i="6"/>
  <c r="N20" i="3" s="1"/>
  <c r="F227" i="6"/>
  <c r="F109" i="3" s="1"/>
  <c r="F217" i="6"/>
  <c r="M64" i="3" s="1"/>
  <c r="D215" i="6"/>
  <c r="L63" i="3" s="1"/>
  <c r="D225" i="6"/>
  <c r="E108" i="3" s="1"/>
  <c r="E110" i="3" s="1"/>
  <c r="D203" i="6"/>
  <c r="F63" i="3" s="1"/>
  <c r="D177" i="6"/>
  <c r="E19" i="3" s="1"/>
  <c r="D241" i="6"/>
  <c r="M108" i="3" s="1"/>
  <c r="D16" i="2"/>
  <c r="E16" i="2" s="1"/>
  <c r="D219" i="6"/>
  <c r="N63" i="3" s="1"/>
  <c r="N65" i="3" s="1"/>
  <c r="D193" i="6"/>
  <c r="M19" i="3" s="1"/>
  <c r="D195" i="6"/>
  <c r="N19" i="3" s="1"/>
  <c r="D197" i="6"/>
  <c r="O19" i="3" s="1"/>
  <c r="D245" i="6"/>
  <c r="O108" i="3" s="1"/>
  <c r="D235" i="6"/>
  <c r="J108" i="3" s="1"/>
  <c r="D191" i="6"/>
  <c r="L19" i="3" s="1"/>
  <c r="D181" i="6"/>
  <c r="G19" i="3" s="1"/>
  <c r="G21" i="3" s="1"/>
  <c r="G28" i="3" s="1"/>
  <c r="D213" i="6"/>
  <c r="K63" i="3" s="1"/>
  <c r="D229" i="6"/>
  <c r="G108" i="3" s="1"/>
  <c r="C8" i="4"/>
  <c r="D187" i="6"/>
  <c r="J19" i="3" s="1"/>
  <c r="D179" i="6"/>
  <c r="F19" i="3" s="1"/>
  <c r="D211" i="6"/>
  <c r="J63" i="3" s="1"/>
  <c r="D199" i="6"/>
  <c r="D63" i="3" s="1"/>
  <c r="D231" i="6"/>
  <c r="H108" i="3" s="1"/>
  <c r="D185" i="6"/>
  <c r="I19" i="3" s="1"/>
  <c r="D201" i="6"/>
  <c r="E63" i="3" s="1"/>
  <c r="D217" i="6"/>
  <c r="M63" i="3" s="1"/>
  <c r="D233" i="6"/>
  <c r="I108" i="3" s="1"/>
  <c r="C21" i="2"/>
  <c r="C5" i="5" s="1"/>
  <c r="D223" i="6"/>
  <c r="D108" i="3" s="1"/>
  <c r="D243" i="6"/>
  <c r="N108" i="3" s="1"/>
  <c r="D227" i="6"/>
  <c r="F108" i="3" s="1"/>
  <c r="D175" i="6"/>
  <c r="D19" i="3" s="1"/>
  <c r="D207" i="6"/>
  <c r="H63" i="3" s="1"/>
  <c r="H65" i="3" s="1"/>
  <c r="D239" i="6"/>
  <c r="L108" i="3" s="1"/>
  <c r="D189" i="6"/>
  <c r="K19" i="3" s="1"/>
  <c r="D205" i="6"/>
  <c r="G63" i="3" s="1"/>
  <c r="D221" i="6"/>
  <c r="O63" i="3" s="1"/>
  <c r="P22" i="3"/>
  <c r="C21" i="4" s="1"/>
  <c r="K59" i="3"/>
  <c r="H59" i="3"/>
  <c r="D8" i="4"/>
  <c r="D10" i="4"/>
  <c r="E10" i="4"/>
  <c r="E8" i="4"/>
  <c r="K104" i="3"/>
  <c r="P31" i="3"/>
  <c r="P74" i="3"/>
  <c r="P114" i="3"/>
  <c r="E24" i="4" s="1"/>
  <c r="L104" i="3"/>
  <c r="I15" i="3"/>
  <c r="E12" i="21"/>
  <c r="F12" i="21" s="1"/>
  <c r="G12" i="21" s="1"/>
  <c r="P11" i="21"/>
  <c r="B12" i="21"/>
  <c r="C12" i="21"/>
  <c r="O11" i="21"/>
  <c r="P13" i="3"/>
  <c r="F104" i="3"/>
  <c r="P23" i="3"/>
  <c r="C22" i="4" s="1"/>
  <c r="D27" i="3"/>
  <c r="P102" i="3"/>
  <c r="G15" i="3"/>
  <c r="E59" i="3"/>
  <c r="F15" i="3"/>
  <c r="D67" i="3"/>
  <c r="O27" i="3"/>
  <c r="C46" i="5"/>
  <c r="D46" i="5" s="1"/>
  <c r="E46" i="5" s="1"/>
  <c r="F46" i="5" s="1"/>
  <c r="G46" i="5" s="1"/>
  <c r="H46" i="5" s="1"/>
  <c r="I46" i="5" s="1"/>
  <c r="J46" i="5" s="1"/>
  <c r="K46" i="5" s="1"/>
  <c r="L46" i="5" s="1"/>
  <c r="M46" i="5" s="1"/>
  <c r="N46" i="5" s="1"/>
  <c r="B38" i="5"/>
  <c r="N59" i="3"/>
  <c r="O15" i="3"/>
  <c r="P119" i="3"/>
  <c r="G103" i="3"/>
  <c r="G104" i="3"/>
  <c r="E66" i="3"/>
  <c r="F66" i="3" s="1"/>
  <c r="G66" i="3" s="1"/>
  <c r="H66" i="3" s="1"/>
  <c r="I66" i="3" s="1"/>
  <c r="J66" i="3" s="1"/>
  <c r="K66" i="3" s="1"/>
  <c r="L66" i="3" s="1"/>
  <c r="M66" i="3" s="1"/>
  <c r="N66" i="3" s="1"/>
  <c r="O66" i="3" s="1"/>
  <c r="D111" i="3" s="1"/>
  <c r="P113" i="3"/>
  <c r="E23" i="4" s="1"/>
  <c r="L59" i="3"/>
  <c r="D17" i="4" l="1"/>
  <c r="D13" i="4"/>
  <c r="D14" i="4" s="1"/>
  <c r="I58" i="3"/>
  <c r="D21" i="3"/>
  <c r="D28" i="3" s="1"/>
  <c r="F21" i="3"/>
  <c r="F28" i="3" s="1"/>
  <c r="O110" i="3"/>
  <c r="L110" i="3"/>
  <c r="L65" i="3"/>
  <c r="E65" i="3"/>
  <c r="E17" i="4"/>
  <c r="E13" i="4"/>
  <c r="E14" i="4" s="1"/>
  <c r="P57" i="3"/>
  <c r="I59" i="3"/>
  <c r="P59" i="3" s="1"/>
  <c r="T31" i="19"/>
  <c r="T32" i="19"/>
  <c r="P14" i="3"/>
  <c r="J65" i="3"/>
  <c r="P58" i="3"/>
  <c r="T28" i="19"/>
  <c r="P25" i="19"/>
  <c r="T30" i="19"/>
  <c r="N28" i="19"/>
  <c r="N31" i="19"/>
  <c r="K110" i="3"/>
  <c r="J25" i="19"/>
  <c r="N32" i="19"/>
  <c r="N30" i="19"/>
  <c r="D18" i="4"/>
  <c r="D19" i="4" s="1"/>
  <c r="P103" i="3"/>
  <c r="I65" i="3"/>
  <c r="L21" i="3"/>
  <c r="L28" i="3" s="1"/>
  <c r="M21" i="3"/>
  <c r="M28" i="3" s="1"/>
  <c r="E21" i="3"/>
  <c r="E28" i="3" s="1"/>
  <c r="S9" i="21"/>
  <c r="S10" i="21" s="1"/>
  <c r="T10" i="21" s="1"/>
  <c r="Q10" i="21" s="1"/>
  <c r="J3" i="5"/>
  <c r="I26" i="2" s="1"/>
  <c r="I110" i="3"/>
  <c r="D110" i="3"/>
  <c r="G110" i="3"/>
  <c r="J110" i="3"/>
  <c r="I21" i="3"/>
  <c r="I28" i="3" s="1"/>
  <c r="E18" i="2"/>
  <c r="I14" i="2" s="1"/>
  <c r="I15" i="2" s="1"/>
  <c r="I18" i="2" s="1"/>
  <c r="N110" i="3"/>
  <c r="O21" i="3"/>
  <c r="O28" i="3" s="1"/>
  <c r="D65" i="3"/>
  <c r="H110" i="3"/>
  <c r="K65" i="3"/>
  <c r="F110" i="3"/>
  <c r="K21" i="3"/>
  <c r="K28" i="3" s="1"/>
  <c r="C6" i="5"/>
  <c r="C19" i="5" s="1"/>
  <c r="O19" i="5" s="1"/>
  <c r="J7" i="5" s="1"/>
  <c r="I23" i="2" s="1"/>
  <c r="C29" i="3" s="1"/>
  <c r="C40" i="3" s="1"/>
  <c r="P20" i="3"/>
  <c r="O65" i="3"/>
  <c r="M65" i="3"/>
  <c r="F65" i="3"/>
  <c r="P64" i="3"/>
  <c r="M110" i="3"/>
  <c r="G65" i="3"/>
  <c r="D18" i="2"/>
  <c r="C18" i="4"/>
  <c r="C19" i="4" s="1"/>
  <c r="N21" i="3"/>
  <c r="N28" i="3" s="1"/>
  <c r="J21" i="3"/>
  <c r="J28" i="3" s="1"/>
  <c r="H21" i="3"/>
  <c r="H28" i="3" s="1"/>
  <c r="P109" i="3"/>
  <c r="C9" i="4"/>
  <c r="C10" i="4" s="1"/>
  <c r="C27" i="4"/>
  <c r="P108" i="3"/>
  <c r="C8" i="3"/>
  <c r="C15" i="3" s="1"/>
  <c r="P63" i="3"/>
  <c r="P19" i="3"/>
  <c r="I9" i="21"/>
  <c r="C15" i="5"/>
  <c r="C9" i="5"/>
  <c r="D9" i="4"/>
  <c r="P66" i="3"/>
  <c r="D21" i="4" s="1"/>
  <c r="P27" i="3"/>
  <c r="P104" i="3"/>
  <c r="C54" i="5"/>
  <c r="D54" i="5" s="1"/>
  <c r="E54" i="5" s="1"/>
  <c r="F54" i="5" s="1"/>
  <c r="G54" i="5" s="1"/>
  <c r="H54" i="5" s="1"/>
  <c r="I54" i="5" s="1"/>
  <c r="J54" i="5" s="1"/>
  <c r="K54" i="5" s="1"/>
  <c r="L54" i="5" s="1"/>
  <c r="M54" i="5" s="1"/>
  <c r="N54" i="5" s="1"/>
  <c r="B46" i="5"/>
  <c r="E67" i="3"/>
  <c r="D71" i="3"/>
  <c r="E13" i="21"/>
  <c r="F13" i="21" s="1"/>
  <c r="G13" i="21" s="1"/>
  <c r="P12" i="21"/>
  <c r="C13" i="21"/>
  <c r="O12" i="21"/>
  <c r="B13" i="21"/>
  <c r="E9" i="4"/>
  <c r="E111" i="3"/>
  <c r="F111" i="3" s="1"/>
  <c r="G111" i="3" s="1"/>
  <c r="D72" i="3" l="1"/>
  <c r="E18" i="4"/>
  <c r="E19" i="4" s="1"/>
  <c r="S11" i="21"/>
  <c r="T11" i="21" s="1"/>
  <c r="Q11" i="21" s="1"/>
  <c r="P28" i="3"/>
  <c r="P110" i="3"/>
  <c r="C42" i="3"/>
  <c r="C44" i="3" s="1"/>
  <c r="D5" i="3" s="1"/>
  <c r="P65" i="3"/>
  <c r="P21" i="3"/>
  <c r="P15" i="3"/>
  <c r="P8" i="3"/>
  <c r="I10" i="21"/>
  <c r="L9" i="21"/>
  <c r="M9" i="21" s="1"/>
  <c r="C17" i="5"/>
  <c r="C18" i="5"/>
  <c r="B54" i="5"/>
  <c r="C62" i="5"/>
  <c r="D62" i="5" s="1"/>
  <c r="E62" i="5" s="1"/>
  <c r="F62" i="5" s="1"/>
  <c r="G62" i="5" s="1"/>
  <c r="H62" i="5" s="1"/>
  <c r="I62" i="5" s="1"/>
  <c r="J62" i="5" s="1"/>
  <c r="K62" i="5" s="1"/>
  <c r="L62" i="5" s="1"/>
  <c r="M62" i="5" s="1"/>
  <c r="N62" i="5" s="1"/>
  <c r="E71" i="3"/>
  <c r="E72" i="3" s="1"/>
  <c r="F67" i="3"/>
  <c r="C14" i="21"/>
  <c r="O13" i="21"/>
  <c r="B14" i="21"/>
  <c r="E14" i="21"/>
  <c r="F14" i="21" s="1"/>
  <c r="G14" i="21" s="1"/>
  <c r="P13" i="21"/>
  <c r="H111" i="3"/>
  <c r="S12" i="21" l="1"/>
  <c r="T12" i="21" s="1"/>
  <c r="C20" i="5"/>
  <c r="D32" i="3"/>
  <c r="D15" i="5"/>
  <c r="D33" i="3"/>
  <c r="K10" i="21"/>
  <c r="I11" i="21"/>
  <c r="B15" i="21"/>
  <c r="E15" i="21"/>
  <c r="F15" i="21" s="1"/>
  <c r="G15" i="21" s="1"/>
  <c r="P14" i="21"/>
  <c r="C15" i="21"/>
  <c r="O14" i="21"/>
  <c r="F71" i="3"/>
  <c r="F72" i="3" s="1"/>
  <c r="G67" i="3"/>
  <c r="I111" i="3"/>
  <c r="B62" i="5"/>
  <c r="C70" i="5"/>
  <c r="D70" i="5" s="1"/>
  <c r="E70" i="5" s="1"/>
  <c r="F70" i="5" s="1"/>
  <c r="G70" i="5" s="1"/>
  <c r="H70" i="5" s="1"/>
  <c r="I70" i="5" s="1"/>
  <c r="J70" i="5" s="1"/>
  <c r="K70" i="5" s="1"/>
  <c r="L70" i="5" s="1"/>
  <c r="M70" i="5" s="1"/>
  <c r="N70" i="5" s="1"/>
  <c r="K11" i="21" l="1"/>
  <c r="I12" i="21"/>
  <c r="D18" i="5"/>
  <c r="E33" i="3" s="1"/>
  <c r="D17" i="5"/>
  <c r="V10" i="21"/>
  <c r="U10" i="21" s="1"/>
  <c r="L10" i="21"/>
  <c r="M10" i="21"/>
  <c r="J111" i="3"/>
  <c r="G71" i="3"/>
  <c r="G72" i="3" s="1"/>
  <c r="H67" i="3"/>
  <c r="C78" i="5"/>
  <c r="D78" i="5" s="1"/>
  <c r="E78" i="5" s="1"/>
  <c r="F78" i="5" s="1"/>
  <c r="G78" i="5" s="1"/>
  <c r="H78" i="5" s="1"/>
  <c r="I78" i="5" s="1"/>
  <c r="J78" i="5" s="1"/>
  <c r="K78" i="5" s="1"/>
  <c r="L78" i="5" s="1"/>
  <c r="M78" i="5" s="1"/>
  <c r="N78" i="5" s="1"/>
  <c r="B70" i="5"/>
  <c r="Q12" i="21"/>
  <c r="S13" i="21"/>
  <c r="E16" i="21"/>
  <c r="F16" i="21" s="1"/>
  <c r="G16" i="21" s="1"/>
  <c r="P15" i="21"/>
  <c r="C16" i="21"/>
  <c r="O15" i="21"/>
  <c r="B16" i="21"/>
  <c r="E15" i="5" l="1"/>
  <c r="K12" i="21"/>
  <c r="I13" i="21"/>
  <c r="D20" i="5"/>
  <c r="E32" i="3"/>
  <c r="M11" i="21"/>
  <c r="V11" i="21"/>
  <c r="U11" i="21" s="1"/>
  <c r="L11" i="21"/>
  <c r="K111" i="3"/>
  <c r="E17" i="21"/>
  <c r="F17" i="21" s="1"/>
  <c r="G17" i="21" s="1"/>
  <c r="P16" i="21"/>
  <c r="C17" i="21"/>
  <c r="O16" i="21"/>
  <c r="B17" i="21"/>
  <c r="T13" i="21"/>
  <c r="Q13" i="21" s="1"/>
  <c r="I67" i="3"/>
  <c r="H71" i="3"/>
  <c r="H72" i="3" s="1"/>
  <c r="C86" i="5"/>
  <c r="D86" i="5" s="1"/>
  <c r="E86" i="5" s="1"/>
  <c r="F86" i="5" s="1"/>
  <c r="G86" i="5" s="1"/>
  <c r="H86" i="5" s="1"/>
  <c r="I86" i="5" s="1"/>
  <c r="J86" i="5" s="1"/>
  <c r="K86" i="5" s="1"/>
  <c r="L86" i="5" s="1"/>
  <c r="M86" i="5" s="1"/>
  <c r="N86" i="5" s="1"/>
  <c r="B86" i="5" s="1"/>
  <c r="B78" i="5"/>
  <c r="K13" i="21" l="1"/>
  <c r="I14" i="21"/>
  <c r="V12" i="21"/>
  <c r="U12" i="21" s="1"/>
  <c r="L12" i="21"/>
  <c r="M12" i="21"/>
  <c r="E17" i="5"/>
  <c r="E18" i="5"/>
  <c r="I71" i="3"/>
  <c r="I72" i="3" s="1"/>
  <c r="J67" i="3"/>
  <c r="C18" i="21"/>
  <c r="O17" i="21"/>
  <c r="B18" i="21"/>
  <c r="E18" i="21"/>
  <c r="F18" i="21" s="1"/>
  <c r="G18" i="21" s="1"/>
  <c r="P17" i="21"/>
  <c r="S14" i="21"/>
  <c r="L111" i="3"/>
  <c r="F15" i="5" l="1"/>
  <c r="F33" i="3"/>
  <c r="F32" i="3"/>
  <c r="E20" i="5"/>
  <c r="K14" i="21"/>
  <c r="V14" i="21" s="1"/>
  <c r="I15" i="21"/>
  <c r="V13" i="21"/>
  <c r="U13" i="21" s="1"/>
  <c r="L13" i="21"/>
  <c r="M13" i="21"/>
  <c r="K67" i="3"/>
  <c r="J71" i="3"/>
  <c r="J72" i="3" s="1"/>
  <c r="M111" i="3"/>
  <c r="B19" i="21"/>
  <c r="C19" i="21"/>
  <c r="O18" i="21"/>
  <c r="E19" i="21"/>
  <c r="F19" i="21" s="1"/>
  <c r="G19" i="21" s="1"/>
  <c r="P18" i="21"/>
  <c r="T14" i="21"/>
  <c r="Q14" i="21" s="1"/>
  <c r="L14" i="21" l="1"/>
  <c r="M14" i="21"/>
  <c r="K15" i="21"/>
  <c r="V15" i="21" s="1"/>
  <c r="I16" i="21"/>
  <c r="K16" i="21" s="1"/>
  <c r="J16" i="21" s="1"/>
  <c r="F17" i="5"/>
  <c r="F18" i="5"/>
  <c r="G33" i="3" s="1"/>
  <c r="S15" i="21"/>
  <c r="U14" i="21"/>
  <c r="E20" i="21"/>
  <c r="F20" i="21" s="1"/>
  <c r="G20" i="21" s="1"/>
  <c r="P19" i="21"/>
  <c r="B20" i="21"/>
  <c r="C20" i="21"/>
  <c r="O19" i="21"/>
  <c r="K71" i="3"/>
  <c r="K72" i="3" s="1"/>
  <c r="L67" i="3"/>
  <c r="N111" i="3"/>
  <c r="V16" i="21" l="1"/>
  <c r="I17" i="21"/>
  <c r="M15" i="21"/>
  <c r="G15" i="5"/>
  <c r="G17" i="5" s="1"/>
  <c r="F20" i="5"/>
  <c r="G32" i="3"/>
  <c r="T15" i="21"/>
  <c r="Q15" i="21" s="1"/>
  <c r="L15" i="21"/>
  <c r="O111" i="3"/>
  <c r="M67" i="3"/>
  <c r="L71" i="3"/>
  <c r="L72" i="3" s="1"/>
  <c r="E21" i="21"/>
  <c r="F21" i="21" s="1"/>
  <c r="G21" i="21" s="1"/>
  <c r="P20" i="21"/>
  <c r="C21" i="21"/>
  <c r="O20" i="21"/>
  <c r="B21" i="21"/>
  <c r="G18" i="5" l="1"/>
  <c r="H33" i="3" s="1"/>
  <c r="S16" i="21"/>
  <c r="T16" i="21" s="1"/>
  <c r="U16" i="21" s="1"/>
  <c r="U15" i="21"/>
  <c r="H15" i="5"/>
  <c r="H17" i="5" s="1"/>
  <c r="H32" i="3"/>
  <c r="K17" i="21"/>
  <c r="J17" i="21" s="1"/>
  <c r="P111" i="3"/>
  <c r="E21" i="4" s="1"/>
  <c r="C22" i="21"/>
  <c r="O21" i="21"/>
  <c r="B22" i="21"/>
  <c r="E22" i="21"/>
  <c r="F22" i="21" s="1"/>
  <c r="G22" i="21" s="1"/>
  <c r="P21" i="21"/>
  <c r="M71" i="3"/>
  <c r="M72" i="3" s="1"/>
  <c r="N67" i="3"/>
  <c r="G20" i="5" l="1"/>
  <c r="M16" i="21"/>
  <c r="S17" i="21"/>
  <c r="L16" i="21"/>
  <c r="H18" i="5"/>
  <c r="I33" i="3" s="1"/>
  <c r="Q16" i="21"/>
  <c r="I32" i="3"/>
  <c r="B23" i="21"/>
  <c r="E23" i="21"/>
  <c r="F23" i="21" s="1"/>
  <c r="G23" i="21" s="1"/>
  <c r="P22" i="21"/>
  <c r="O22" i="21"/>
  <c r="C23" i="21"/>
  <c r="V17" i="21"/>
  <c r="O67" i="3"/>
  <c r="N71" i="3"/>
  <c r="N72" i="3" s="1"/>
  <c r="L17" i="21" l="1"/>
  <c r="H20" i="5"/>
  <c r="I15" i="5"/>
  <c r="I17" i="5" s="1"/>
  <c r="J32" i="3" s="1"/>
  <c r="I18" i="21"/>
  <c r="D112" i="3"/>
  <c r="O71" i="3"/>
  <c r="P67" i="3"/>
  <c r="D22" i="4" s="1"/>
  <c r="D27" i="4" s="1"/>
  <c r="M17" i="21"/>
  <c r="T17" i="21"/>
  <c r="E24" i="21"/>
  <c r="F24" i="21" s="1"/>
  <c r="G24" i="21" s="1"/>
  <c r="P23" i="21"/>
  <c r="C24" i="21"/>
  <c r="O23" i="21"/>
  <c r="B24" i="21"/>
  <c r="O72" i="3" l="1"/>
  <c r="P72" i="3" s="1"/>
  <c r="I18" i="5"/>
  <c r="J33" i="3" s="1"/>
  <c r="K18" i="21"/>
  <c r="J18" i="21" s="1"/>
  <c r="U17" i="21"/>
  <c r="S18" i="21"/>
  <c r="P71" i="3"/>
  <c r="Q17" i="21"/>
  <c r="E25" i="21"/>
  <c r="F25" i="21" s="1"/>
  <c r="G25" i="21" s="1"/>
  <c r="P24" i="21"/>
  <c r="C25" i="21"/>
  <c r="O24" i="21"/>
  <c r="B25" i="21"/>
  <c r="D116" i="3"/>
  <c r="D117" i="3" s="1"/>
  <c r="E112" i="3"/>
  <c r="J15" i="5" l="1"/>
  <c r="J17" i="5" s="1"/>
  <c r="J18" i="5" s="1"/>
  <c r="I20" i="5"/>
  <c r="M18" i="21"/>
  <c r="V18" i="21"/>
  <c r="F112" i="3"/>
  <c r="E116" i="3"/>
  <c r="E117" i="3" s="1"/>
  <c r="C26" i="21"/>
  <c r="O25" i="21"/>
  <c r="B26" i="21"/>
  <c r="E26" i="21"/>
  <c r="F26" i="21" s="1"/>
  <c r="G26" i="21" s="1"/>
  <c r="P25" i="21"/>
  <c r="K33" i="3" l="1"/>
  <c r="K15" i="5"/>
  <c r="J20" i="5"/>
  <c r="K32" i="3"/>
  <c r="T18" i="21"/>
  <c r="S19" i="21" s="1"/>
  <c r="L18" i="21"/>
  <c r="G112" i="3"/>
  <c r="F116" i="3"/>
  <c r="F117" i="3" s="1"/>
  <c r="B27" i="21"/>
  <c r="E27" i="21"/>
  <c r="F27" i="21" s="1"/>
  <c r="G27" i="21" s="1"/>
  <c r="P26" i="21"/>
  <c r="C27" i="21"/>
  <c r="O26" i="21"/>
  <c r="I19" i="21"/>
  <c r="K17" i="5" l="1"/>
  <c r="K18" i="5" s="1"/>
  <c r="L33" i="3" s="1"/>
  <c r="Q18" i="21"/>
  <c r="U18" i="21"/>
  <c r="E28" i="21"/>
  <c r="F28" i="21" s="1"/>
  <c r="G28" i="21" s="1"/>
  <c r="P27" i="21"/>
  <c r="C28" i="21"/>
  <c r="O27" i="21"/>
  <c r="B28" i="21"/>
  <c r="K19" i="21"/>
  <c r="J19" i="21" s="1"/>
  <c r="H112" i="3"/>
  <c r="G116" i="3"/>
  <c r="G117" i="3" s="1"/>
  <c r="L32" i="3" l="1"/>
  <c r="K20" i="5"/>
  <c r="L15" i="5"/>
  <c r="H116" i="3"/>
  <c r="H117" i="3" s="1"/>
  <c r="I112" i="3"/>
  <c r="E29" i="21"/>
  <c r="F29" i="21" s="1"/>
  <c r="G29" i="21" s="1"/>
  <c r="P28" i="21"/>
  <c r="C29" i="21"/>
  <c r="O28" i="21"/>
  <c r="B29" i="21"/>
  <c r="L19" i="21"/>
  <c r="V19" i="21"/>
  <c r="L17" i="5" l="1"/>
  <c r="L18" i="5"/>
  <c r="M33" i="3" s="1"/>
  <c r="T19" i="21"/>
  <c r="I20" i="21"/>
  <c r="C30" i="21"/>
  <c r="O29" i="21"/>
  <c r="B30" i="21"/>
  <c r="E30" i="21"/>
  <c r="F30" i="21" s="1"/>
  <c r="G30" i="21" s="1"/>
  <c r="P29" i="21"/>
  <c r="I116" i="3"/>
  <c r="I117" i="3" s="1"/>
  <c r="J112" i="3"/>
  <c r="M19" i="21"/>
  <c r="M15" i="5" l="1"/>
  <c r="M17" i="5" s="1"/>
  <c r="M32" i="3"/>
  <c r="L20" i="5"/>
  <c r="K112" i="3"/>
  <c r="J116" i="3"/>
  <c r="J117" i="3" s="1"/>
  <c r="K20" i="21"/>
  <c r="J20" i="21" s="1"/>
  <c r="B31" i="21"/>
  <c r="E31" i="21"/>
  <c r="F31" i="21" s="1"/>
  <c r="G31" i="21" s="1"/>
  <c r="P30" i="21"/>
  <c r="C31" i="21"/>
  <c r="O30" i="21"/>
  <c r="S20" i="21"/>
  <c r="U19" i="21"/>
  <c r="Q19" i="21"/>
  <c r="M18" i="5" l="1"/>
  <c r="N15" i="5" s="1"/>
  <c r="N32" i="3"/>
  <c r="L20" i="21"/>
  <c r="V20" i="21"/>
  <c r="E32" i="21"/>
  <c r="F32" i="21" s="1"/>
  <c r="G32" i="21" s="1"/>
  <c r="P31" i="21"/>
  <c r="C32" i="21"/>
  <c r="O31" i="21"/>
  <c r="B32" i="21"/>
  <c r="L112" i="3"/>
  <c r="K116" i="3"/>
  <c r="K117" i="3" s="1"/>
  <c r="N33" i="3" l="1"/>
  <c r="M20" i="5"/>
  <c r="N17" i="5"/>
  <c r="N18" i="5" s="1"/>
  <c r="M20" i="21"/>
  <c r="E33" i="21"/>
  <c r="F33" i="21" s="1"/>
  <c r="G33" i="21" s="1"/>
  <c r="P32" i="21"/>
  <c r="C33" i="21"/>
  <c r="O32" i="21"/>
  <c r="B33" i="21"/>
  <c r="I21" i="21"/>
  <c r="L116" i="3"/>
  <c r="L117" i="3" s="1"/>
  <c r="M112" i="3"/>
  <c r="T20" i="21"/>
  <c r="O32" i="3" l="1"/>
  <c r="P32" i="3" s="1"/>
  <c r="O17" i="5"/>
  <c r="C29" i="4" s="1"/>
  <c r="O33" i="3"/>
  <c r="P33" i="3" s="1"/>
  <c r="O18" i="5"/>
  <c r="C56" i="4" s="1"/>
  <c r="C24" i="5"/>
  <c r="C26" i="5" s="1"/>
  <c r="N20" i="5"/>
  <c r="O20" i="5" s="1"/>
  <c r="K21" i="21"/>
  <c r="J21" i="21" s="1"/>
  <c r="U20" i="21"/>
  <c r="S21" i="21"/>
  <c r="Q20" i="21"/>
  <c r="C34" i="21"/>
  <c r="O33" i="21"/>
  <c r="B34" i="21"/>
  <c r="P33" i="21"/>
  <c r="E34" i="21"/>
  <c r="F34" i="21" s="1"/>
  <c r="G34" i="21" s="1"/>
  <c r="N112" i="3"/>
  <c r="M116" i="3"/>
  <c r="M117" i="3" s="1"/>
  <c r="C32" i="4" l="1"/>
  <c r="C27" i="5"/>
  <c r="D76" i="3" s="1"/>
  <c r="D75" i="3"/>
  <c r="L21" i="21"/>
  <c r="V21" i="21"/>
  <c r="O112" i="3"/>
  <c r="N116" i="3"/>
  <c r="N117" i="3" s="1"/>
  <c r="B35" i="21"/>
  <c r="E35" i="21"/>
  <c r="F35" i="21" s="1"/>
  <c r="G35" i="21" s="1"/>
  <c r="P34" i="21"/>
  <c r="O34" i="21"/>
  <c r="C35" i="21"/>
  <c r="C33" i="4" l="1"/>
  <c r="P38" i="3" s="1"/>
  <c r="D24" i="5"/>
  <c r="D26" i="5" s="1"/>
  <c r="E75" i="3" s="1"/>
  <c r="C28" i="5"/>
  <c r="T21" i="21"/>
  <c r="U21" i="21" s="1"/>
  <c r="O116" i="3"/>
  <c r="O117" i="3" s="1"/>
  <c r="P112" i="3"/>
  <c r="E22" i="4" s="1"/>
  <c r="E27" i="4" s="1"/>
  <c r="E36" i="21"/>
  <c r="F36" i="21" s="1"/>
  <c r="G36" i="21" s="1"/>
  <c r="P35" i="21"/>
  <c r="C36" i="21"/>
  <c r="O35" i="21"/>
  <c r="B36" i="21"/>
  <c r="I22" i="21"/>
  <c r="M21" i="21"/>
  <c r="P34" i="3" l="1"/>
  <c r="I34" i="3" s="1"/>
  <c r="C34" i="4"/>
  <c r="M34" i="3"/>
  <c r="N34" i="3"/>
  <c r="K34" i="3"/>
  <c r="J34" i="3"/>
  <c r="G34" i="3"/>
  <c r="H34" i="3"/>
  <c r="L34" i="3"/>
  <c r="O34" i="3"/>
  <c r="E34" i="3"/>
  <c r="F34" i="3"/>
  <c r="D34" i="3"/>
  <c r="C37" i="4"/>
  <c r="P116" i="3"/>
  <c r="P117" i="3"/>
  <c r="D27" i="5"/>
  <c r="E76" i="3" s="1"/>
  <c r="Q21" i="21"/>
  <c r="S22" i="21"/>
  <c r="K22" i="21"/>
  <c r="J22" i="21" s="1"/>
  <c r="E37" i="21"/>
  <c r="F37" i="21" s="1"/>
  <c r="G37" i="21" s="1"/>
  <c r="P36" i="21"/>
  <c r="C37" i="21"/>
  <c r="O36" i="21"/>
  <c r="B37" i="21"/>
  <c r="H2" i="19" l="1"/>
  <c r="K2" i="19" s="1"/>
  <c r="C42" i="4"/>
  <c r="Q2" i="19"/>
  <c r="E24" i="5"/>
  <c r="E26" i="5" s="1"/>
  <c r="D28" i="5"/>
  <c r="L22" i="21"/>
  <c r="V22" i="21"/>
  <c r="C38" i="21"/>
  <c r="O37" i="21"/>
  <c r="B38" i="21"/>
  <c r="P37" i="21"/>
  <c r="E38" i="21"/>
  <c r="F38" i="21" s="1"/>
  <c r="G38" i="21" s="1"/>
  <c r="P11" i="19" l="1"/>
  <c r="S57" i="19"/>
  <c r="S58" i="19"/>
  <c r="S55" i="19"/>
  <c r="P6" i="19"/>
  <c r="T42" i="19"/>
  <c r="P16" i="19"/>
  <c r="S56" i="19"/>
  <c r="S54" i="19"/>
  <c r="M58" i="19"/>
  <c r="J6" i="19"/>
  <c r="J11" i="19"/>
  <c r="J16" i="19"/>
  <c r="M54" i="19"/>
  <c r="N42" i="19"/>
  <c r="M55" i="19"/>
  <c r="M56" i="19"/>
  <c r="M57" i="19"/>
  <c r="E27" i="5"/>
  <c r="F76" i="3" s="1"/>
  <c r="F75" i="3"/>
  <c r="M22" i="21"/>
  <c r="B39" i="21"/>
  <c r="E39" i="21"/>
  <c r="F39" i="21" s="1"/>
  <c r="G39" i="21" s="1"/>
  <c r="P38" i="21"/>
  <c r="O38" i="21"/>
  <c r="C39" i="21"/>
  <c r="I23" i="21"/>
  <c r="T22" i="21"/>
  <c r="Q22" i="21" s="1"/>
  <c r="P51" i="19" l="1"/>
  <c r="K4" i="19"/>
  <c r="B4" i="19" s="1"/>
  <c r="Q4" i="19"/>
  <c r="C4" i="19" s="1"/>
  <c r="E28" i="5"/>
  <c r="F24" i="5"/>
  <c r="F26" i="5" s="1"/>
  <c r="K23" i="21"/>
  <c r="J23" i="21" s="1"/>
  <c r="E40" i="21"/>
  <c r="F40" i="21" s="1"/>
  <c r="G40" i="21" s="1"/>
  <c r="P39" i="21"/>
  <c r="C40" i="21"/>
  <c r="O39" i="21"/>
  <c r="B40" i="21"/>
  <c r="S23" i="21"/>
  <c r="U22" i="21"/>
  <c r="B22" i="19" l="1"/>
  <c r="S49" i="19"/>
  <c r="S47" i="19"/>
  <c r="S48" i="19"/>
  <c r="C22" i="19"/>
  <c r="C23" i="19" s="1"/>
  <c r="M47" i="19"/>
  <c r="B17" i="19"/>
  <c r="M48" i="19"/>
  <c r="M49" i="19"/>
  <c r="F27" i="5"/>
  <c r="G76" i="3" s="1"/>
  <c r="G75" i="3"/>
  <c r="E41" i="21"/>
  <c r="F41" i="21" s="1"/>
  <c r="G41" i="21" s="1"/>
  <c r="P40" i="21"/>
  <c r="C41" i="21"/>
  <c r="O40" i="21"/>
  <c r="B41" i="21"/>
  <c r="V23" i="21"/>
  <c r="P44" i="19" l="1"/>
  <c r="C6" i="19" s="1"/>
  <c r="C17" i="19"/>
  <c r="C18" i="19" s="1"/>
  <c r="B18" i="19"/>
  <c r="B23" i="19"/>
  <c r="D22" i="19"/>
  <c r="E22" i="19" s="1"/>
  <c r="E23" i="19" s="1"/>
  <c r="F28" i="5"/>
  <c r="G24" i="5"/>
  <c r="G26" i="5" s="1"/>
  <c r="I24" i="21"/>
  <c r="C42" i="21"/>
  <c r="O41" i="21"/>
  <c r="B42" i="21"/>
  <c r="E42" i="21"/>
  <c r="F42" i="21" s="1"/>
  <c r="G42" i="21" s="1"/>
  <c r="P41" i="21"/>
  <c r="L23" i="21"/>
  <c r="M23" i="21"/>
  <c r="T23" i="21"/>
  <c r="Q23" i="21" s="1"/>
  <c r="D17" i="19" l="1"/>
  <c r="E17" i="19" s="1"/>
  <c r="E18" i="19" s="1"/>
  <c r="D23" i="19"/>
  <c r="F22" i="19"/>
  <c r="F23" i="19" s="1"/>
  <c r="G27" i="5"/>
  <c r="H76" i="3" s="1"/>
  <c r="H75" i="3"/>
  <c r="K24" i="21"/>
  <c r="J24" i="21" s="1"/>
  <c r="U23" i="21"/>
  <c r="S24" i="21"/>
  <c r="B43" i="21"/>
  <c r="E43" i="21"/>
  <c r="F43" i="21" s="1"/>
  <c r="G43" i="21" s="1"/>
  <c r="P42" i="21"/>
  <c r="C43" i="21"/>
  <c r="O42" i="21"/>
  <c r="F17" i="19" l="1"/>
  <c r="F18" i="19" s="1"/>
  <c r="D18" i="19"/>
  <c r="C5" i="19"/>
  <c r="C7" i="19" s="1"/>
  <c r="C8" i="19" s="1"/>
  <c r="G28" i="5"/>
  <c r="H24" i="5"/>
  <c r="H26" i="5" s="1"/>
  <c r="E44" i="21"/>
  <c r="F44" i="21" s="1"/>
  <c r="G44" i="21" s="1"/>
  <c r="P43" i="21"/>
  <c r="C44" i="21"/>
  <c r="O43" i="21"/>
  <c r="B44" i="21"/>
  <c r="M24" i="21"/>
  <c r="V24" i="21"/>
  <c r="B5" i="19" l="1"/>
  <c r="B7" i="19" s="1"/>
  <c r="B8" i="19" s="1"/>
  <c r="C39" i="4"/>
  <c r="H27" i="5"/>
  <c r="I76" i="3" s="1"/>
  <c r="I75" i="3"/>
  <c r="L24" i="21"/>
  <c r="E45" i="21"/>
  <c r="F45" i="21" s="1"/>
  <c r="G45" i="21" s="1"/>
  <c r="P44" i="21"/>
  <c r="C45" i="21"/>
  <c r="O44" i="21"/>
  <c r="B45" i="21"/>
  <c r="I25" i="21"/>
  <c r="T24" i="21"/>
  <c r="C44" i="4" l="1"/>
  <c r="O36" i="3"/>
  <c r="J36" i="3"/>
  <c r="E36" i="3"/>
  <c r="K36" i="3"/>
  <c r="F36" i="3"/>
  <c r="L36" i="3"/>
  <c r="G36" i="3"/>
  <c r="M36" i="3"/>
  <c r="H36" i="3"/>
  <c r="N36" i="3"/>
  <c r="I36" i="3"/>
  <c r="D36" i="3"/>
  <c r="H28" i="5"/>
  <c r="I24" i="5"/>
  <c r="I26" i="5" s="1"/>
  <c r="U24" i="21"/>
  <c r="S25" i="21"/>
  <c r="K25" i="21"/>
  <c r="J25" i="21" s="1"/>
  <c r="Q24" i="21"/>
  <c r="C46" i="21"/>
  <c r="O45" i="21"/>
  <c r="B46" i="21"/>
  <c r="E46" i="21"/>
  <c r="F46" i="21" s="1"/>
  <c r="G46" i="21" s="1"/>
  <c r="P45" i="21"/>
  <c r="C55" i="4" l="1"/>
  <c r="C46" i="4"/>
  <c r="C51" i="4" s="1"/>
  <c r="C53" i="4" s="1"/>
  <c r="C58" i="4" s="1"/>
  <c r="M38" i="3"/>
  <c r="M40" i="3" s="1"/>
  <c r="M42" i="3" s="1"/>
  <c r="N38" i="3"/>
  <c r="N40" i="3" s="1"/>
  <c r="N42" i="3" s="1"/>
  <c r="J38" i="3"/>
  <c r="J40" i="3" s="1"/>
  <c r="J42" i="3" s="1"/>
  <c r="H38" i="3"/>
  <c r="H40" i="3" s="1"/>
  <c r="H42" i="3" s="1"/>
  <c r="D38" i="3"/>
  <c r="D40" i="3" s="1"/>
  <c r="G38" i="3"/>
  <c r="G40" i="3" s="1"/>
  <c r="G42" i="3" s="1"/>
  <c r="O38" i="3"/>
  <c r="O40" i="3" s="1"/>
  <c r="O42" i="3" s="1"/>
  <c r="F38" i="3"/>
  <c r="F40" i="3" s="1"/>
  <c r="F42" i="3" s="1"/>
  <c r="L38" i="3"/>
  <c r="L40" i="3" s="1"/>
  <c r="L42" i="3" s="1"/>
  <c r="I38" i="3"/>
  <c r="I40" i="3" s="1"/>
  <c r="I42" i="3" s="1"/>
  <c r="E38" i="3"/>
  <c r="E40" i="3" s="1"/>
  <c r="E42" i="3" s="1"/>
  <c r="K38" i="3"/>
  <c r="K40" i="3" s="1"/>
  <c r="K42" i="3" s="1"/>
  <c r="I27" i="5"/>
  <c r="J76" i="3" s="1"/>
  <c r="J75" i="3"/>
  <c r="B47" i="21"/>
  <c r="E47" i="21"/>
  <c r="F47" i="21" s="1"/>
  <c r="G47" i="21" s="1"/>
  <c r="P46" i="21"/>
  <c r="C47" i="21"/>
  <c r="O46" i="21"/>
  <c r="M25" i="21"/>
  <c r="V25" i="21"/>
  <c r="D42" i="3" l="1"/>
  <c r="D44" i="3" s="1"/>
  <c r="E5" i="3" s="1"/>
  <c r="E44" i="3" s="1"/>
  <c r="F5" i="3" s="1"/>
  <c r="F44" i="3" s="1"/>
  <c r="G5" i="3" s="1"/>
  <c r="G44" i="3" s="1"/>
  <c r="H5" i="3" s="1"/>
  <c r="H44" i="3" s="1"/>
  <c r="I5" i="3" s="1"/>
  <c r="I44" i="3" s="1"/>
  <c r="J5" i="3" s="1"/>
  <c r="J44" i="3" s="1"/>
  <c r="K5" i="3" s="1"/>
  <c r="K44" i="3" s="1"/>
  <c r="L5" i="3" s="1"/>
  <c r="L44" i="3" s="1"/>
  <c r="M5" i="3" s="1"/>
  <c r="M44" i="3" s="1"/>
  <c r="N5" i="3" s="1"/>
  <c r="N44" i="3" s="1"/>
  <c r="O5" i="3" s="1"/>
  <c r="O44" i="3" s="1"/>
  <c r="D49" i="3" s="1"/>
  <c r="P40" i="3"/>
  <c r="I28" i="5"/>
  <c r="J24" i="5"/>
  <c r="T25" i="21"/>
  <c r="U25" i="21" s="1"/>
  <c r="L25" i="21"/>
  <c r="E48" i="21"/>
  <c r="F48" i="21" s="1"/>
  <c r="G48" i="21" s="1"/>
  <c r="P47" i="21"/>
  <c r="C48" i="21"/>
  <c r="O47" i="21"/>
  <c r="B48" i="21"/>
  <c r="I26" i="21"/>
  <c r="J26" i="5" l="1"/>
  <c r="K75" i="3" s="1"/>
  <c r="S26" i="21"/>
  <c r="Q25" i="21"/>
  <c r="K26" i="21"/>
  <c r="J26" i="21" s="1"/>
  <c r="E49" i="21"/>
  <c r="F49" i="21" s="1"/>
  <c r="G49" i="21" s="1"/>
  <c r="P48" i="21"/>
  <c r="C49" i="21"/>
  <c r="O48" i="21"/>
  <c r="B49" i="21"/>
  <c r="J27" i="5" l="1"/>
  <c r="J28" i="5" s="1"/>
  <c r="C50" i="21"/>
  <c r="O49" i="21"/>
  <c r="B50" i="21"/>
  <c r="P49" i="21"/>
  <c r="E50" i="21"/>
  <c r="F50" i="21" s="1"/>
  <c r="G50" i="21" s="1"/>
  <c r="M26" i="21"/>
  <c r="V26" i="21"/>
  <c r="K76" i="3" l="1"/>
  <c r="K24" i="5"/>
  <c r="B51" i="21"/>
  <c r="E51" i="21"/>
  <c r="F51" i="21" s="1"/>
  <c r="G51" i="21" s="1"/>
  <c r="P50" i="21"/>
  <c r="O50" i="21"/>
  <c r="C51" i="21"/>
  <c r="T26" i="21"/>
  <c r="I27" i="21"/>
  <c r="L26" i="21"/>
  <c r="K27" i="5" l="1"/>
  <c r="L76" i="3" s="1"/>
  <c r="K26" i="5"/>
  <c r="U26" i="21"/>
  <c r="S27" i="21"/>
  <c r="Q26" i="21"/>
  <c r="E52" i="21"/>
  <c r="F52" i="21" s="1"/>
  <c r="G52" i="21" s="1"/>
  <c r="P51" i="21"/>
  <c r="C52" i="21"/>
  <c r="O51" i="21"/>
  <c r="B52" i="21"/>
  <c r="K27" i="21"/>
  <c r="J27" i="21" s="1"/>
  <c r="L24" i="5" l="1"/>
  <c r="L26" i="5" s="1"/>
  <c r="L75" i="3"/>
  <c r="K28" i="5"/>
  <c r="M27" i="21"/>
  <c r="V27" i="21"/>
  <c r="E53" i="21"/>
  <c r="F53" i="21" s="1"/>
  <c r="G53" i="21" s="1"/>
  <c r="P52" i="21"/>
  <c r="C53" i="21"/>
  <c r="O52" i="21"/>
  <c r="B53" i="21"/>
  <c r="M75" i="3" l="1"/>
  <c r="L27" i="5"/>
  <c r="L27" i="21"/>
  <c r="C54" i="21"/>
  <c r="O53" i="21"/>
  <c r="B54" i="21"/>
  <c r="P53" i="21"/>
  <c r="E54" i="21"/>
  <c r="F54" i="21" s="1"/>
  <c r="G54" i="21" s="1"/>
  <c r="I28" i="21"/>
  <c r="T27" i="21"/>
  <c r="M76" i="3" l="1"/>
  <c r="M24" i="5"/>
  <c r="M26" i="5" s="1"/>
  <c r="L28" i="5"/>
  <c r="K28" i="21"/>
  <c r="J28" i="21" s="1"/>
  <c r="B55" i="21"/>
  <c r="E55" i="21"/>
  <c r="F55" i="21" s="1"/>
  <c r="G55" i="21" s="1"/>
  <c r="P54" i="21"/>
  <c r="O54" i="21"/>
  <c r="C55" i="21"/>
  <c r="S28" i="21"/>
  <c r="U27" i="21"/>
  <c r="Q27" i="21"/>
  <c r="M27" i="5" l="1"/>
  <c r="M28" i="5" s="1"/>
  <c r="N75" i="3"/>
  <c r="E56" i="21"/>
  <c r="F56" i="21" s="1"/>
  <c r="G56" i="21" s="1"/>
  <c r="P55" i="21"/>
  <c r="C56" i="21"/>
  <c r="O55" i="21"/>
  <c r="B56" i="21"/>
  <c r="V28" i="21"/>
  <c r="N24" i="5" l="1"/>
  <c r="N76" i="3"/>
  <c r="I29" i="21"/>
  <c r="L28" i="21"/>
  <c r="M28" i="21"/>
  <c r="T28" i="21"/>
  <c r="E57" i="21"/>
  <c r="F57" i="21" s="1"/>
  <c r="G57" i="21" s="1"/>
  <c r="P56" i="21"/>
  <c r="C57" i="21"/>
  <c r="O56" i="21"/>
  <c r="B57" i="21"/>
  <c r="N26" i="5" l="1"/>
  <c r="U28" i="21"/>
  <c r="S29" i="21"/>
  <c r="C58" i="21"/>
  <c r="O57" i="21"/>
  <c r="B58" i="21"/>
  <c r="E58" i="21"/>
  <c r="F58" i="21" s="1"/>
  <c r="G58" i="21" s="1"/>
  <c r="P57" i="21"/>
  <c r="K29" i="21"/>
  <c r="J29" i="21" s="1"/>
  <c r="Q28" i="21"/>
  <c r="O75" i="3" l="1"/>
  <c r="O26" i="5"/>
  <c r="D29" i="4" s="1"/>
  <c r="D32" i="4" s="1"/>
  <c r="N27" i="5"/>
  <c r="B59" i="21"/>
  <c r="E59" i="21"/>
  <c r="F59" i="21" s="1"/>
  <c r="G59" i="21" s="1"/>
  <c r="P58" i="21"/>
  <c r="C59" i="21"/>
  <c r="O58" i="21"/>
  <c r="T29" i="21"/>
  <c r="V29" i="21"/>
  <c r="O76" i="3" l="1"/>
  <c r="P76" i="3" s="1"/>
  <c r="O27" i="5"/>
  <c r="D56" i="4" s="1"/>
  <c r="C32" i="5"/>
  <c r="C34" i="5" s="1"/>
  <c r="D33" i="4"/>
  <c r="P75" i="3"/>
  <c r="N28" i="5"/>
  <c r="O28" i="5" s="1"/>
  <c r="L29" i="21"/>
  <c r="U29" i="21"/>
  <c r="S30" i="21"/>
  <c r="M29" i="21"/>
  <c r="E60" i="21"/>
  <c r="F60" i="21" s="1"/>
  <c r="G60" i="21" s="1"/>
  <c r="P59" i="21"/>
  <c r="C60" i="21"/>
  <c r="O59" i="21"/>
  <c r="B60" i="21"/>
  <c r="Q29" i="21"/>
  <c r="I30" i="21"/>
  <c r="P77" i="3" l="1"/>
  <c r="P81" i="3"/>
  <c r="D39" i="4" s="1"/>
  <c r="D34" i="4"/>
  <c r="C35" i="5"/>
  <c r="D32" i="5" s="1"/>
  <c r="D120" i="3"/>
  <c r="K77" i="3"/>
  <c r="F77" i="3"/>
  <c r="E77" i="3"/>
  <c r="O77" i="3"/>
  <c r="J77" i="3"/>
  <c r="I77" i="3"/>
  <c r="G77" i="3"/>
  <c r="D77" i="3"/>
  <c r="L77" i="3"/>
  <c r="N77" i="3"/>
  <c r="M77" i="3"/>
  <c r="H77" i="3"/>
  <c r="E61" i="21"/>
  <c r="F61" i="21" s="1"/>
  <c r="G61" i="21" s="1"/>
  <c r="P60" i="21"/>
  <c r="C61" i="21"/>
  <c r="O60" i="21"/>
  <c r="B61" i="21"/>
  <c r="K30" i="21"/>
  <c r="J30" i="21" s="1"/>
  <c r="C36" i="5" l="1"/>
  <c r="N81" i="3"/>
  <c r="N83" i="3" s="1"/>
  <c r="N85" i="3" s="1"/>
  <c r="J81" i="3"/>
  <c r="F81" i="3"/>
  <c r="F83" i="3" s="1"/>
  <c r="F85" i="3" s="1"/>
  <c r="M81" i="3"/>
  <c r="I81" i="3"/>
  <c r="I83" i="3" s="1"/>
  <c r="I85" i="3" s="1"/>
  <c r="E81" i="3"/>
  <c r="E83" i="3" s="1"/>
  <c r="E85" i="3" s="1"/>
  <c r="L81" i="3"/>
  <c r="L83" i="3" s="1"/>
  <c r="L85" i="3" s="1"/>
  <c r="H81" i="3"/>
  <c r="H83" i="3" s="1"/>
  <c r="H85" i="3" s="1"/>
  <c r="D81" i="3"/>
  <c r="D83" i="3" s="1"/>
  <c r="D85" i="3" s="1"/>
  <c r="D87" i="3" s="1"/>
  <c r="E49" i="3" s="1"/>
  <c r="O81" i="3"/>
  <c r="O83" i="3" s="1"/>
  <c r="O85" i="3" s="1"/>
  <c r="K81" i="3"/>
  <c r="K83" i="3" s="1"/>
  <c r="K85" i="3" s="1"/>
  <c r="G81" i="3"/>
  <c r="D44" i="4"/>
  <c r="D55" i="4" s="1"/>
  <c r="J83" i="3"/>
  <c r="J85" i="3" s="1"/>
  <c r="M83" i="3"/>
  <c r="M85" i="3" s="1"/>
  <c r="G83" i="3"/>
  <c r="G85" i="3" s="1"/>
  <c r="D37" i="4"/>
  <c r="D42" i="4"/>
  <c r="D34" i="5"/>
  <c r="D35" i="5"/>
  <c r="E32" i="5" s="1"/>
  <c r="E34" i="5" s="1"/>
  <c r="C62" i="21"/>
  <c r="O61" i="21"/>
  <c r="B62" i="21"/>
  <c r="E62" i="21"/>
  <c r="F62" i="21" s="1"/>
  <c r="G62" i="21" s="1"/>
  <c r="P61" i="21"/>
  <c r="M30" i="21"/>
  <c r="V30" i="21"/>
  <c r="E87" i="3" l="1"/>
  <c r="F49" i="3" s="1"/>
  <c r="F87" i="3" s="1"/>
  <c r="G49" i="3" s="1"/>
  <c r="G87" i="3" s="1"/>
  <c r="H49" i="3" s="1"/>
  <c r="H87" i="3" s="1"/>
  <c r="I49" i="3" s="1"/>
  <c r="I87" i="3" s="1"/>
  <c r="J49" i="3" s="1"/>
  <c r="J87" i="3" s="1"/>
  <c r="K49" i="3" s="1"/>
  <c r="K87" i="3" s="1"/>
  <c r="L49" i="3" s="1"/>
  <c r="L87" i="3" s="1"/>
  <c r="M49" i="3" s="1"/>
  <c r="M87" i="3" s="1"/>
  <c r="N49" i="3" s="1"/>
  <c r="N87" i="3" s="1"/>
  <c r="O49" i="3" s="1"/>
  <c r="O87" i="3" s="1"/>
  <c r="D94" i="3" s="1"/>
  <c r="P83" i="3"/>
  <c r="D46" i="4"/>
  <c r="D51" i="4" s="1"/>
  <c r="D53" i="4" s="1"/>
  <c r="D58" i="4" s="1"/>
  <c r="E35" i="5"/>
  <c r="F32" i="5" s="1"/>
  <c r="F34" i="5" s="1"/>
  <c r="F120" i="3"/>
  <c r="E120" i="3"/>
  <c r="D36" i="5"/>
  <c r="I31" i="21"/>
  <c r="T30" i="21"/>
  <c r="Q30" i="21" s="1"/>
  <c r="L30" i="21"/>
  <c r="B63" i="21"/>
  <c r="E63" i="21"/>
  <c r="F63" i="21" s="1"/>
  <c r="G63" i="21" s="1"/>
  <c r="P62" i="21"/>
  <c r="C63" i="21"/>
  <c r="O62" i="21"/>
  <c r="E36" i="5" l="1"/>
  <c r="F35" i="5"/>
  <c r="G32" i="5" s="1"/>
  <c r="G34" i="5" s="1"/>
  <c r="G120" i="3"/>
  <c r="E64" i="21"/>
  <c r="F64" i="21" s="1"/>
  <c r="G64" i="21" s="1"/>
  <c r="P63" i="21"/>
  <c r="C64" i="21"/>
  <c r="O63" i="21"/>
  <c r="B64" i="21"/>
  <c r="K31" i="21"/>
  <c r="J31" i="21" s="1"/>
  <c r="S31" i="21"/>
  <c r="U30" i="21"/>
  <c r="F36" i="5" l="1"/>
  <c r="G35" i="5"/>
  <c r="H32" i="5" s="1"/>
  <c r="H34" i="5" s="1"/>
  <c r="H120" i="3"/>
  <c r="M31" i="21"/>
  <c r="V31" i="21"/>
  <c r="E65" i="21"/>
  <c r="F65" i="21" s="1"/>
  <c r="G65" i="21" s="1"/>
  <c r="P64" i="21"/>
  <c r="C65" i="21"/>
  <c r="O64" i="21"/>
  <c r="B65" i="21"/>
  <c r="G36" i="5" l="1"/>
  <c r="H35" i="5"/>
  <c r="I32" i="5" s="1"/>
  <c r="I120" i="3"/>
  <c r="L31" i="21"/>
  <c r="T31" i="21"/>
  <c r="C66" i="21"/>
  <c r="O65" i="21"/>
  <c r="B66" i="21"/>
  <c r="P65" i="21"/>
  <c r="E66" i="21"/>
  <c r="F66" i="21" s="1"/>
  <c r="G66" i="21" s="1"/>
  <c r="I32" i="21"/>
  <c r="H36" i="5" l="1"/>
  <c r="I34" i="5"/>
  <c r="I35" i="5"/>
  <c r="J32" i="5" s="1"/>
  <c r="U31" i="21"/>
  <c r="S32" i="21"/>
  <c r="Q31" i="21"/>
  <c r="K32" i="21"/>
  <c r="J32" i="21" s="1"/>
  <c r="B67" i="21"/>
  <c r="E67" i="21"/>
  <c r="F67" i="21" s="1"/>
  <c r="G67" i="21" s="1"/>
  <c r="P66" i="21"/>
  <c r="O66" i="21"/>
  <c r="C67" i="21"/>
  <c r="J34" i="5" l="1"/>
  <c r="J35" i="5"/>
  <c r="K32" i="5" s="1"/>
  <c r="J120" i="3"/>
  <c r="I36" i="5"/>
  <c r="E68" i="21"/>
  <c r="F68" i="21" s="1"/>
  <c r="G68" i="21" s="1"/>
  <c r="P67" i="21"/>
  <c r="C68" i="21"/>
  <c r="O67" i="21"/>
  <c r="B68" i="21"/>
  <c r="L32" i="21"/>
  <c r="V32" i="21"/>
  <c r="K34" i="5" l="1"/>
  <c r="K120" i="3"/>
  <c r="J36" i="5"/>
  <c r="T32" i="21"/>
  <c r="I33" i="21"/>
  <c r="M32" i="21"/>
  <c r="E69" i="21"/>
  <c r="F69" i="21" s="1"/>
  <c r="G69" i="21" s="1"/>
  <c r="P68" i="21"/>
  <c r="C69" i="21"/>
  <c r="O68" i="21"/>
  <c r="B69" i="21"/>
  <c r="L120" i="3" l="1"/>
  <c r="K35" i="5"/>
  <c r="L32" i="5" s="1"/>
  <c r="L34" i="5" s="1"/>
  <c r="K33" i="21"/>
  <c r="J33" i="21" s="1"/>
  <c r="U32" i="21"/>
  <c r="S33" i="21"/>
  <c r="Q32" i="21"/>
  <c r="C70" i="21"/>
  <c r="O69" i="21"/>
  <c r="B70" i="21"/>
  <c r="P69" i="21"/>
  <c r="E70" i="21"/>
  <c r="F70" i="21" s="1"/>
  <c r="G70" i="21" s="1"/>
  <c r="K36" i="5" l="1"/>
  <c r="L35" i="5"/>
  <c r="M32" i="5" s="1"/>
  <c r="M120" i="3"/>
  <c r="B71" i="21"/>
  <c r="E71" i="21"/>
  <c r="F71" i="21" s="1"/>
  <c r="G71" i="21" s="1"/>
  <c r="P70" i="21"/>
  <c r="O70" i="21"/>
  <c r="C71" i="21"/>
  <c r="V33" i="21"/>
  <c r="L36" i="5" l="1"/>
  <c r="M34" i="5"/>
  <c r="M35" i="5"/>
  <c r="N32" i="5" s="1"/>
  <c r="I34" i="21"/>
  <c r="E72" i="21"/>
  <c r="F72" i="21" s="1"/>
  <c r="G72" i="21" s="1"/>
  <c r="P71" i="21"/>
  <c r="C72" i="21"/>
  <c r="O71" i="21"/>
  <c r="B72" i="21"/>
  <c r="M33" i="21"/>
  <c r="T33" i="21"/>
  <c r="L33" i="21"/>
  <c r="N34" i="5" l="1"/>
  <c r="O34" i="5" s="1"/>
  <c r="E29" i="4" s="1"/>
  <c r="E32" i="4" s="1"/>
  <c r="M36" i="5"/>
  <c r="N120" i="3"/>
  <c r="E73" i="21"/>
  <c r="F73" i="21" s="1"/>
  <c r="G73" i="21" s="1"/>
  <c r="P72" i="21"/>
  <c r="C73" i="21"/>
  <c r="O72" i="21"/>
  <c r="B73" i="21"/>
  <c r="K34" i="21"/>
  <c r="J34" i="21" s="1"/>
  <c r="U33" i="21"/>
  <c r="S34" i="21"/>
  <c r="Q33" i="21"/>
  <c r="E33" i="4" l="1"/>
  <c r="N35" i="5"/>
  <c r="O120" i="3"/>
  <c r="P120" i="3" s="1"/>
  <c r="C74" i="21"/>
  <c r="O73" i="21"/>
  <c r="B74" i="21"/>
  <c r="E74" i="21"/>
  <c r="F74" i="21" s="1"/>
  <c r="G74" i="21" s="1"/>
  <c r="P73" i="21"/>
  <c r="M34" i="21"/>
  <c r="V34" i="21"/>
  <c r="P122" i="3" l="1"/>
  <c r="P126" i="3"/>
  <c r="E39" i="4" s="1"/>
  <c r="O35" i="5"/>
  <c r="E56" i="4" s="1"/>
  <c r="C40" i="5"/>
  <c r="C42" i="5" s="1"/>
  <c r="E34" i="4"/>
  <c r="N36" i="5"/>
  <c r="O36" i="5" s="1"/>
  <c r="O122" i="3"/>
  <c r="M122" i="3"/>
  <c r="H122" i="3"/>
  <c r="F122" i="3"/>
  <c r="L122" i="3"/>
  <c r="G122" i="3"/>
  <c r="N122" i="3"/>
  <c r="I122" i="3"/>
  <c r="D122" i="3"/>
  <c r="J122" i="3"/>
  <c r="E122" i="3"/>
  <c r="K122" i="3"/>
  <c r="L34" i="21"/>
  <c r="T34" i="21"/>
  <c r="U34" i="21" s="1"/>
  <c r="B75" i="21"/>
  <c r="E75" i="21"/>
  <c r="F75" i="21" s="1"/>
  <c r="G75" i="21" s="1"/>
  <c r="P74" i="21"/>
  <c r="C75" i="21"/>
  <c r="O74" i="21"/>
  <c r="I35" i="21"/>
  <c r="N126" i="3" l="1"/>
  <c r="L126" i="3"/>
  <c r="L128" i="3" s="1"/>
  <c r="L130" i="3" s="1"/>
  <c r="E126" i="3"/>
  <c r="I126" i="3"/>
  <c r="I128" i="3" s="1"/>
  <c r="I130" i="3" s="1"/>
  <c r="K126" i="3"/>
  <c r="K128" i="3" s="1"/>
  <c r="K130" i="3" s="1"/>
  <c r="D126" i="3"/>
  <c r="D128" i="3" s="1"/>
  <c r="D130" i="3" s="1"/>
  <c r="D132" i="3" s="1"/>
  <c r="E94" i="3" s="1"/>
  <c r="M126" i="3"/>
  <c r="M128" i="3" s="1"/>
  <c r="M130" i="3" s="1"/>
  <c r="F126" i="3"/>
  <c r="F128" i="3" s="1"/>
  <c r="F130" i="3" s="1"/>
  <c r="H126" i="3"/>
  <c r="H128" i="3" s="1"/>
  <c r="H130" i="3" s="1"/>
  <c r="J126" i="3"/>
  <c r="J128" i="3" s="1"/>
  <c r="J130" i="3" s="1"/>
  <c r="G126" i="3"/>
  <c r="G128" i="3" s="1"/>
  <c r="G130" i="3" s="1"/>
  <c r="O126" i="3"/>
  <c r="O128" i="3" s="1"/>
  <c r="O130" i="3" s="1"/>
  <c r="E44" i="4"/>
  <c r="E55" i="4" s="1"/>
  <c r="E128" i="3"/>
  <c r="E130" i="3" s="1"/>
  <c r="N128" i="3"/>
  <c r="N130" i="3" s="1"/>
  <c r="E37" i="4"/>
  <c r="E42" i="4"/>
  <c r="C43" i="5"/>
  <c r="D40" i="5" s="1"/>
  <c r="S35" i="21"/>
  <c r="Q34" i="21"/>
  <c r="K35" i="21"/>
  <c r="J35" i="21" s="1"/>
  <c r="E76" i="21"/>
  <c r="F76" i="21" s="1"/>
  <c r="P75" i="21"/>
  <c r="C76" i="21"/>
  <c r="O75" i="21"/>
  <c r="B76" i="21"/>
  <c r="E132" i="3" l="1"/>
  <c r="F94" i="3" s="1"/>
  <c r="F132" i="3" s="1"/>
  <c r="G94" i="3" s="1"/>
  <c r="G132" i="3" s="1"/>
  <c r="H94" i="3" s="1"/>
  <c r="H132" i="3" s="1"/>
  <c r="I94" i="3" s="1"/>
  <c r="I132" i="3" s="1"/>
  <c r="J94" i="3" s="1"/>
  <c r="J132" i="3" s="1"/>
  <c r="K94" i="3" s="1"/>
  <c r="K132" i="3" s="1"/>
  <c r="L94" i="3" s="1"/>
  <c r="L132" i="3" s="1"/>
  <c r="M94" i="3" s="1"/>
  <c r="M132" i="3" s="1"/>
  <c r="N94" i="3" s="1"/>
  <c r="N132" i="3" s="1"/>
  <c r="O94" i="3" s="1"/>
  <c r="O132" i="3" s="1"/>
  <c r="P128" i="3"/>
  <c r="C44" i="5"/>
  <c r="D42" i="5"/>
  <c r="D43" i="5"/>
  <c r="E40" i="5" s="1"/>
  <c r="E42" i="5" s="1"/>
  <c r="E46" i="4"/>
  <c r="E51" i="4" s="1"/>
  <c r="E53" i="4" s="1"/>
  <c r="E58" i="4" s="1"/>
  <c r="E77" i="21"/>
  <c r="F77" i="21" s="1"/>
  <c r="P76" i="21"/>
  <c r="C77" i="21"/>
  <c r="O76" i="21"/>
  <c r="B77" i="21"/>
  <c r="V35" i="21"/>
  <c r="E43" i="5" l="1"/>
  <c r="F40" i="5" s="1"/>
  <c r="F42" i="5" s="1"/>
  <c r="D44" i="5"/>
  <c r="C78" i="21"/>
  <c r="O77" i="21"/>
  <c r="B78" i="21"/>
  <c r="E78" i="21"/>
  <c r="F78" i="21" s="1"/>
  <c r="P77" i="21"/>
  <c r="L35" i="21"/>
  <c r="T35" i="21"/>
  <c r="M35" i="21"/>
  <c r="I36" i="21"/>
  <c r="E44" i="5" l="1"/>
  <c r="F43" i="5"/>
  <c r="G40" i="5" s="1"/>
  <c r="S36" i="21"/>
  <c r="U35" i="21"/>
  <c r="B79" i="21"/>
  <c r="E79" i="21"/>
  <c r="F79" i="21" s="1"/>
  <c r="P78" i="21"/>
  <c r="C79" i="21"/>
  <c r="O78" i="21"/>
  <c r="K36" i="21"/>
  <c r="J36" i="21" s="1"/>
  <c r="Q35" i="21"/>
  <c r="F44" i="5" l="1"/>
  <c r="G43" i="5"/>
  <c r="H40" i="5" s="1"/>
  <c r="H42" i="5" s="1"/>
  <c r="G42" i="5"/>
  <c r="E80" i="21"/>
  <c r="F80" i="21" s="1"/>
  <c r="P79" i="21"/>
  <c r="C80" i="21"/>
  <c r="O79" i="21"/>
  <c r="B80" i="21"/>
  <c r="V36" i="21"/>
  <c r="H43" i="5" l="1"/>
  <c r="I40" i="5" s="1"/>
  <c r="G44" i="5"/>
  <c r="I37" i="21"/>
  <c r="M36" i="21"/>
  <c r="T36" i="21"/>
  <c r="E81" i="21"/>
  <c r="F81" i="21" s="1"/>
  <c r="P80" i="21"/>
  <c r="C81" i="21"/>
  <c r="O80" i="21"/>
  <c r="B81" i="21"/>
  <c r="L36" i="21"/>
  <c r="H44" i="5" l="1"/>
  <c r="I42" i="5"/>
  <c r="I43" i="5"/>
  <c r="J40" i="5" s="1"/>
  <c r="C82" i="21"/>
  <c r="O81" i="21"/>
  <c r="B82" i="21"/>
  <c r="P81" i="21"/>
  <c r="E82" i="21"/>
  <c r="F82" i="21" s="1"/>
  <c r="U36" i="21"/>
  <c r="S37" i="21"/>
  <c r="K37" i="21"/>
  <c r="J37" i="21" s="1"/>
  <c r="Q36" i="21"/>
  <c r="J42" i="5" l="1"/>
  <c r="J43" i="5"/>
  <c r="K40" i="5" s="1"/>
  <c r="K42" i="5" s="1"/>
  <c r="I44" i="5"/>
  <c r="M37" i="21"/>
  <c r="V37" i="21"/>
  <c r="B83" i="21"/>
  <c r="E83" i="21"/>
  <c r="F83" i="21" s="1"/>
  <c r="P82" i="21"/>
  <c r="O82" i="21"/>
  <c r="C83" i="21"/>
  <c r="K43" i="5" l="1"/>
  <c r="L40" i="5" s="1"/>
  <c r="J44" i="5"/>
  <c r="L37" i="21"/>
  <c r="T37" i="21"/>
  <c r="S38" i="21" s="1"/>
  <c r="E84" i="21"/>
  <c r="F84" i="21" s="1"/>
  <c r="P83" i="21"/>
  <c r="C84" i="21"/>
  <c r="O83" i="21"/>
  <c r="B84" i="21"/>
  <c r="I38" i="21"/>
  <c r="K44" i="5" l="1"/>
  <c r="L42" i="5"/>
  <c r="L43" i="5"/>
  <c r="M40" i="5" s="1"/>
  <c r="M42" i="5" s="1"/>
  <c r="Q37" i="21"/>
  <c r="U37" i="21"/>
  <c r="E85" i="21"/>
  <c r="F85" i="21" s="1"/>
  <c r="P84" i="21"/>
  <c r="C85" i="21"/>
  <c r="O84" i="21"/>
  <c r="B85" i="21"/>
  <c r="K38" i="21"/>
  <c r="J38" i="21" s="1"/>
  <c r="M43" i="5" l="1"/>
  <c r="N40" i="5" s="1"/>
  <c r="L44" i="5"/>
  <c r="C86" i="21"/>
  <c r="O85" i="21"/>
  <c r="B86" i="21"/>
  <c r="P85" i="21"/>
  <c r="E86" i="21"/>
  <c r="F86" i="21" s="1"/>
  <c r="V38" i="21"/>
  <c r="M44" i="5" l="1"/>
  <c r="N42" i="5"/>
  <c r="N43" i="5" s="1"/>
  <c r="T38" i="21"/>
  <c r="I39" i="21"/>
  <c r="L38" i="21"/>
  <c r="B87" i="21"/>
  <c r="E87" i="21"/>
  <c r="F87" i="21" s="1"/>
  <c r="P86" i="21"/>
  <c r="O86" i="21"/>
  <c r="C87" i="21"/>
  <c r="M38" i="21"/>
  <c r="O43" i="5" l="1"/>
  <c r="C48" i="5"/>
  <c r="O42" i="5"/>
  <c r="N44" i="5"/>
  <c r="O44" i="5" s="1"/>
  <c r="E88" i="21"/>
  <c r="F88" i="21" s="1"/>
  <c r="P87" i="21"/>
  <c r="C88" i="21"/>
  <c r="O87" i="21"/>
  <c r="B88" i="21"/>
  <c r="K39" i="21"/>
  <c r="J39" i="21" s="1"/>
  <c r="U38" i="21"/>
  <c r="S39" i="21"/>
  <c r="Q38" i="21"/>
  <c r="C50" i="5" l="1"/>
  <c r="C51" i="5"/>
  <c r="D48" i="5" s="1"/>
  <c r="T39" i="21"/>
  <c r="S40" i="21" s="1"/>
  <c r="V39" i="21"/>
  <c r="E89" i="21"/>
  <c r="F89" i="21" s="1"/>
  <c r="P88" i="21"/>
  <c r="C89" i="21"/>
  <c r="O88" i="21"/>
  <c r="B89" i="21"/>
  <c r="D50" i="5" l="1"/>
  <c r="D51" i="5"/>
  <c r="E48" i="5" s="1"/>
  <c r="C52" i="5"/>
  <c r="C90" i="21"/>
  <c r="O89" i="21"/>
  <c r="B90" i="21"/>
  <c r="E90" i="21"/>
  <c r="F90" i="21" s="1"/>
  <c r="P89" i="21"/>
  <c r="Q39" i="21"/>
  <c r="I40" i="21"/>
  <c r="U39" i="21"/>
  <c r="L39" i="21"/>
  <c r="M39" i="21"/>
  <c r="E51" i="5" l="1"/>
  <c r="F48" i="5" s="1"/>
  <c r="E50" i="5"/>
  <c r="D52" i="5"/>
  <c r="B91" i="21"/>
  <c r="E91" i="21"/>
  <c r="F91" i="21" s="1"/>
  <c r="P90" i="21"/>
  <c r="C91" i="21"/>
  <c r="O90" i="21"/>
  <c r="K40" i="21"/>
  <c r="J40" i="21" s="1"/>
  <c r="E52" i="5" l="1"/>
  <c r="F51" i="5"/>
  <c r="G48" i="5" s="1"/>
  <c r="F50" i="5"/>
  <c r="E92" i="21"/>
  <c r="F92" i="21" s="1"/>
  <c r="P91" i="21"/>
  <c r="C92" i="21"/>
  <c r="O91" i="21"/>
  <c r="B92" i="21"/>
  <c r="V40" i="21"/>
  <c r="G50" i="5" l="1"/>
  <c r="G51" i="5"/>
  <c r="H48" i="5" s="1"/>
  <c r="F52" i="5"/>
  <c r="T40" i="21"/>
  <c r="I41" i="21"/>
  <c r="M40" i="21"/>
  <c r="L40" i="21"/>
  <c r="E93" i="21"/>
  <c r="F93" i="21" s="1"/>
  <c r="P92" i="21"/>
  <c r="C93" i="21"/>
  <c r="O92" i="21"/>
  <c r="B93" i="21"/>
  <c r="H51" i="5" l="1"/>
  <c r="I48" i="5" s="1"/>
  <c r="H50" i="5"/>
  <c r="G52" i="5"/>
  <c r="U40" i="21"/>
  <c r="S41" i="21"/>
  <c r="Q40" i="21"/>
  <c r="C94" i="21"/>
  <c r="O93" i="21"/>
  <c r="B94" i="21"/>
  <c r="E94" i="21"/>
  <c r="F94" i="21" s="1"/>
  <c r="P93" i="21"/>
  <c r="K41" i="21"/>
  <c r="J41" i="21" s="1"/>
  <c r="H52" i="5" l="1"/>
  <c r="I51" i="5"/>
  <c r="J48" i="5" s="1"/>
  <c r="I50" i="5"/>
  <c r="B95" i="21"/>
  <c r="E95" i="21"/>
  <c r="F95" i="21" s="1"/>
  <c r="P94" i="21"/>
  <c r="C95" i="21"/>
  <c r="O94" i="21"/>
  <c r="T41" i="21"/>
  <c r="V41" i="21"/>
  <c r="J51" i="5" l="1"/>
  <c r="K48" i="5" s="1"/>
  <c r="J50" i="5"/>
  <c r="I52" i="5"/>
  <c r="U41" i="21"/>
  <c r="S42" i="21"/>
  <c r="Q41" i="21"/>
  <c r="I42" i="21"/>
  <c r="E96" i="21"/>
  <c r="F96" i="21" s="1"/>
  <c r="P95" i="21"/>
  <c r="C96" i="21"/>
  <c r="O95" i="21"/>
  <c r="B96" i="21"/>
  <c r="L41" i="21"/>
  <c r="M41" i="21"/>
  <c r="J52" i="5" l="1"/>
  <c r="K51" i="5"/>
  <c r="L48" i="5" s="1"/>
  <c r="L50" i="5" s="1"/>
  <c r="K50" i="5"/>
  <c r="E97" i="21"/>
  <c r="F97" i="21" s="1"/>
  <c r="P96" i="21"/>
  <c r="C97" i="21"/>
  <c r="O96" i="21"/>
  <c r="B97" i="21"/>
  <c r="K42" i="21"/>
  <c r="J42" i="21" s="1"/>
  <c r="K52" i="5" l="1"/>
  <c r="L51" i="5"/>
  <c r="M48" i="5" s="1"/>
  <c r="M50" i="5" s="1"/>
  <c r="M42" i="21"/>
  <c r="V42" i="21"/>
  <c r="C98" i="21"/>
  <c r="O97" i="21"/>
  <c r="B98" i="21"/>
  <c r="P97" i="21"/>
  <c r="E98" i="21"/>
  <c r="F98" i="21" s="1"/>
  <c r="L52" i="5" l="1"/>
  <c r="M51" i="5"/>
  <c r="N48" i="5" s="1"/>
  <c r="T42" i="21"/>
  <c r="Q42" i="21" s="1"/>
  <c r="I43" i="21"/>
  <c r="B99" i="21"/>
  <c r="E99" i="21"/>
  <c r="F99" i="21" s="1"/>
  <c r="P98" i="21"/>
  <c r="O98" i="21"/>
  <c r="C99" i="21"/>
  <c r="L42" i="21"/>
  <c r="M52" i="5" l="1"/>
  <c r="N50" i="5"/>
  <c r="N51" i="5"/>
  <c r="O51" i="5" s="1"/>
  <c r="E100" i="21"/>
  <c r="F100" i="21" s="1"/>
  <c r="P99" i="21"/>
  <c r="C100" i="21"/>
  <c r="O99" i="21"/>
  <c r="B100" i="21"/>
  <c r="K43" i="21"/>
  <c r="J43" i="21" s="1"/>
  <c r="S43" i="21"/>
  <c r="U42" i="21"/>
  <c r="C56" i="5" l="1"/>
  <c r="O50" i="5"/>
  <c r="N52" i="5"/>
  <c r="O52" i="5" s="1"/>
  <c r="M43" i="21"/>
  <c r="V43" i="21"/>
  <c r="E101" i="21"/>
  <c r="P100" i="21"/>
  <c r="C101" i="21"/>
  <c r="O100" i="21"/>
  <c r="B101" i="21"/>
  <c r="F101" i="21"/>
  <c r="C59" i="5" l="1"/>
  <c r="D56" i="5" s="1"/>
  <c r="C58" i="5"/>
  <c r="T43" i="21"/>
  <c r="U43" i="21" s="1"/>
  <c r="L43" i="21"/>
  <c r="C102" i="21"/>
  <c r="O101" i="21"/>
  <c r="B102" i="21"/>
  <c r="P101" i="21"/>
  <c r="E102" i="21"/>
  <c r="F102" i="21" s="1"/>
  <c r="I44" i="21"/>
  <c r="D59" i="5" l="1"/>
  <c r="E56" i="5" s="1"/>
  <c r="E58" i="5" s="1"/>
  <c r="D58" i="5"/>
  <c r="C60" i="5"/>
  <c r="Q43" i="21"/>
  <c r="S44" i="21"/>
  <c r="K44" i="21"/>
  <c r="J44" i="21" s="1"/>
  <c r="B103" i="21"/>
  <c r="E103" i="21"/>
  <c r="F103" i="21" s="1"/>
  <c r="P102" i="21"/>
  <c r="O102" i="21"/>
  <c r="C103" i="21"/>
  <c r="D60" i="5" l="1"/>
  <c r="E59" i="5"/>
  <c r="F56" i="5" s="1"/>
  <c r="E104" i="21"/>
  <c r="F104" i="21" s="1"/>
  <c r="P103" i="21"/>
  <c r="C104" i="21"/>
  <c r="O103" i="21"/>
  <c r="B104" i="21"/>
  <c r="V44" i="21"/>
  <c r="F59" i="5" l="1"/>
  <c r="G56" i="5" s="1"/>
  <c r="F58" i="5"/>
  <c r="E60" i="5"/>
  <c r="T44" i="21"/>
  <c r="I45" i="21"/>
  <c r="L44" i="21"/>
  <c r="M44" i="21"/>
  <c r="E105" i="21"/>
  <c r="F105" i="21" s="1"/>
  <c r="P104" i="21"/>
  <c r="C105" i="21"/>
  <c r="O104" i="21"/>
  <c r="B105" i="21"/>
  <c r="F60" i="5" l="1"/>
  <c r="G58" i="5"/>
  <c r="C106" i="21"/>
  <c r="O105" i="21"/>
  <c r="B106" i="21"/>
  <c r="E106" i="21"/>
  <c r="F106" i="21" s="1"/>
  <c r="P105" i="21"/>
  <c r="U44" i="21"/>
  <c r="S45" i="21"/>
  <c r="Q44" i="21"/>
  <c r="K45" i="21"/>
  <c r="J45" i="21" s="1"/>
  <c r="G59" i="5" l="1"/>
  <c r="H56" i="5" s="1"/>
  <c r="B107" i="21"/>
  <c r="E107" i="21"/>
  <c r="F107" i="21" s="1"/>
  <c r="P106" i="21"/>
  <c r="C107" i="21"/>
  <c r="O106" i="21"/>
  <c r="L45" i="21"/>
  <c r="V45" i="21"/>
  <c r="H59" i="5" l="1"/>
  <c r="I56" i="5" s="1"/>
  <c r="H58" i="5"/>
  <c r="G60" i="5"/>
  <c r="I46" i="21"/>
  <c r="E108" i="21"/>
  <c r="F108" i="21" s="1"/>
  <c r="P107" i="21"/>
  <c r="C108" i="21"/>
  <c r="O107" i="21"/>
  <c r="B108" i="21"/>
  <c r="T45" i="21"/>
  <c r="Q45" i="21" s="1"/>
  <c r="M45" i="21"/>
  <c r="H60" i="5" l="1"/>
  <c r="I59" i="5"/>
  <c r="J56" i="5" s="1"/>
  <c r="I58" i="5"/>
  <c r="E109" i="21"/>
  <c r="F109" i="21" s="1"/>
  <c r="P108" i="21"/>
  <c r="C109" i="21"/>
  <c r="O108" i="21"/>
  <c r="B109" i="21"/>
  <c r="K46" i="21"/>
  <c r="J46" i="21" s="1"/>
  <c r="U45" i="21"/>
  <c r="S46" i="21"/>
  <c r="I60" i="5" l="1"/>
  <c r="J58" i="5"/>
  <c r="J59" i="5"/>
  <c r="K56" i="5" s="1"/>
  <c r="T46" i="21"/>
  <c r="V46" i="21"/>
  <c r="C110" i="21"/>
  <c r="O109" i="21"/>
  <c r="B110" i="21"/>
  <c r="F110" i="21"/>
  <c r="E110" i="21"/>
  <c r="P109" i="21"/>
  <c r="K59" i="5" l="1"/>
  <c r="L56" i="5" s="1"/>
  <c r="K58" i="5"/>
  <c r="J60" i="5"/>
  <c r="L46" i="21"/>
  <c r="U46" i="21"/>
  <c r="M46" i="21"/>
  <c r="S47" i="21"/>
  <c r="B111" i="21"/>
  <c r="E111" i="21"/>
  <c r="F111" i="21" s="1"/>
  <c r="P110" i="21"/>
  <c r="C111" i="21"/>
  <c r="O110" i="21"/>
  <c r="Q46" i="21"/>
  <c r="I47" i="21"/>
  <c r="K60" i="5" l="1"/>
  <c r="L58" i="5"/>
  <c r="L59" i="5"/>
  <c r="M56" i="5" s="1"/>
  <c r="E112" i="21"/>
  <c r="F112" i="21" s="1"/>
  <c r="P111" i="21"/>
  <c r="C112" i="21"/>
  <c r="O111" i="21"/>
  <c r="B112" i="21"/>
  <c r="K47" i="21"/>
  <c r="J47" i="21" s="1"/>
  <c r="M58" i="5" l="1"/>
  <c r="M59" i="5"/>
  <c r="N56" i="5" s="1"/>
  <c r="L60" i="5"/>
  <c r="C113" i="21"/>
  <c r="O112" i="21"/>
  <c r="B113" i="21"/>
  <c r="E113" i="21"/>
  <c r="F113" i="21" s="1"/>
  <c r="P112" i="21"/>
  <c r="L47" i="21"/>
  <c r="V47" i="21"/>
  <c r="N59" i="5" l="1"/>
  <c r="O59" i="5" s="1"/>
  <c r="N58" i="5"/>
  <c r="M60" i="5"/>
  <c r="E114" i="21"/>
  <c r="F114" i="21" s="1"/>
  <c r="P113" i="21"/>
  <c r="B114" i="21"/>
  <c r="O113" i="21"/>
  <c r="C114" i="21"/>
  <c r="T47" i="21"/>
  <c r="I48" i="21"/>
  <c r="M47" i="21"/>
  <c r="C64" i="5" l="1"/>
  <c r="C66" i="5" s="1"/>
  <c r="N60" i="5"/>
  <c r="O60" i="5" s="1"/>
  <c r="O58" i="5"/>
  <c r="K48" i="21"/>
  <c r="J48" i="21" s="1"/>
  <c r="S48" i="21"/>
  <c r="U47" i="21"/>
  <c r="Q47" i="21"/>
  <c r="C115" i="21"/>
  <c r="O114" i="21"/>
  <c r="E115" i="21"/>
  <c r="F115" i="21" s="1"/>
  <c r="P114" i="21"/>
  <c r="B115" i="21"/>
  <c r="C67" i="5" l="1"/>
  <c r="D64" i="5" s="1"/>
  <c r="D67" i="5" s="1"/>
  <c r="E64" i="5" s="1"/>
  <c r="B116" i="21"/>
  <c r="E116" i="21"/>
  <c r="F116" i="21" s="1"/>
  <c r="P115" i="21"/>
  <c r="C116" i="21"/>
  <c r="O115" i="21"/>
  <c r="T48" i="21"/>
  <c r="V48" i="21"/>
  <c r="C68" i="5" l="1"/>
  <c r="D66" i="5"/>
  <c r="D68" i="5" s="1"/>
  <c r="E66" i="5"/>
  <c r="E67" i="5"/>
  <c r="F64" i="5" s="1"/>
  <c r="U48" i="21"/>
  <c r="M48" i="21"/>
  <c r="Q48" i="21"/>
  <c r="I49" i="21"/>
  <c r="S49" i="21"/>
  <c r="C117" i="21"/>
  <c r="O116" i="21"/>
  <c r="E117" i="21"/>
  <c r="F117" i="21" s="1"/>
  <c r="P116" i="21"/>
  <c r="B117" i="21"/>
  <c r="L48" i="21"/>
  <c r="E68" i="5" l="1"/>
  <c r="F66" i="5"/>
  <c r="F67" i="5"/>
  <c r="G64" i="5" s="1"/>
  <c r="E118" i="21"/>
  <c r="F118" i="21" s="1"/>
  <c r="P117" i="21"/>
  <c r="B118" i="21"/>
  <c r="C118" i="21"/>
  <c r="O117" i="21"/>
  <c r="K49" i="21"/>
  <c r="J49" i="21" s="1"/>
  <c r="F68" i="5" l="1"/>
  <c r="G66" i="5"/>
  <c r="G67" i="5"/>
  <c r="H64" i="5" s="1"/>
  <c r="C119" i="21"/>
  <c r="O118" i="21"/>
  <c r="E119" i="21"/>
  <c r="F119" i="21" s="1"/>
  <c r="P118" i="21"/>
  <c r="B119" i="21"/>
  <c r="V49" i="21"/>
  <c r="G68" i="5" l="1"/>
  <c r="H66" i="5"/>
  <c r="H67" i="5"/>
  <c r="I64" i="5" s="1"/>
  <c r="I50" i="21"/>
  <c r="M49" i="21"/>
  <c r="T49" i="21"/>
  <c r="Q49" i="21" s="1"/>
  <c r="L49" i="21"/>
  <c r="B120" i="21"/>
  <c r="E120" i="21"/>
  <c r="F120" i="21" s="1"/>
  <c r="P119" i="21"/>
  <c r="C120" i="21"/>
  <c r="O119" i="21"/>
  <c r="H68" i="5" l="1"/>
  <c r="I66" i="5"/>
  <c r="I67" i="5"/>
  <c r="J64" i="5" s="1"/>
  <c r="K50" i="21"/>
  <c r="J50" i="21" s="1"/>
  <c r="U49" i="21"/>
  <c r="S50" i="21"/>
  <c r="C121" i="21"/>
  <c r="O120" i="21"/>
  <c r="B121" i="21"/>
  <c r="E121" i="21"/>
  <c r="F121" i="21" s="1"/>
  <c r="P120" i="21"/>
  <c r="I68" i="5" l="1"/>
  <c r="J67" i="5"/>
  <c r="K64" i="5" s="1"/>
  <c r="J66" i="5"/>
  <c r="E122" i="21"/>
  <c r="F122" i="21" s="1"/>
  <c r="P121" i="21"/>
  <c r="B122" i="21"/>
  <c r="C122" i="21"/>
  <c r="O121" i="21"/>
  <c r="M50" i="21"/>
  <c r="V50" i="21"/>
  <c r="J68" i="5" l="1"/>
  <c r="K66" i="5"/>
  <c r="K67" i="5"/>
  <c r="L64" i="5" s="1"/>
  <c r="I51" i="21"/>
  <c r="L50" i="21"/>
  <c r="T50" i="21"/>
  <c r="C123" i="21"/>
  <c r="O122" i="21"/>
  <c r="E123" i="21"/>
  <c r="F123" i="21" s="1"/>
  <c r="P122" i="21"/>
  <c r="B123" i="21"/>
  <c r="L66" i="5" l="1"/>
  <c r="L67" i="5"/>
  <c r="M64" i="5" s="1"/>
  <c r="K68" i="5"/>
  <c r="U50" i="21"/>
  <c r="S51" i="21"/>
  <c r="K51" i="21"/>
  <c r="J51" i="21" s="1"/>
  <c r="B124" i="21"/>
  <c r="E124" i="21"/>
  <c r="F124" i="21" s="1"/>
  <c r="P123" i="21"/>
  <c r="C124" i="21"/>
  <c r="O123" i="21"/>
  <c r="Q50" i="21"/>
  <c r="L68" i="5" l="1"/>
  <c r="M67" i="5"/>
  <c r="N64" i="5" s="1"/>
  <c r="M66" i="5"/>
  <c r="C125" i="21"/>
  <c r="O124" i="21"/>
  <c r="E125" i="21"/>
  <c r="F125" i="21" s="1"/>
  <c r="P124" i="21"/>
  <c r="B125" i="21"/>
  <c r="L51" i="21"/>
  <c r="V51" i="21"/>
  <c r="M68" i="5" l="1"/>
  <c r="N66" i="5"/>
  <c r="N67" i="5"/>
  <c r="O67" i="5" s="1"/>
  <c r="M51" i="21"/>
  <c r="I52" i="21"/>
  <c r="E126" i="21"/>
  <c r="F126" i="21" s="1"/>
  <c r="P125" i="21"/>
  <c r="B126" i="21"/>
  <c r="C126" i="21"/>
  <c r="O125" i="21"/>
  <c r="T51" i="21"/>
  <c r="C72" i="5" l="1"/>
  <c r="C74" i="5" s="1"/>
  <c r="O66" i="5"/>
  <c r="N68" i="5"/>
  <c r="O68" i="5" s="1"/>
  <c r="C75" i="5"/>
  <c r="D72" i="5" s="1"/>
  <c r="U51" i="21"/>
  <c r="S52" i="21"/>
  <c r="C127" i="21"/>
  <c r="O126" i="21"/>
  <c r="E127" i="21"/>
  <c r="F127" i="21" s="1"/>
  <c r="P126" i="21"/>
  <c r="B127" i="21"/>
  <c r="K52" i="21"/>
  <c r="J52" i="21" s="1"/>
  <c r="Q51" i="21"/>
  <c r="D74" i="5" l="1"/>
  <c r="D75" i="5"/>
  <c r="E72" i="5" s="1"/>
  <c r="C76" i="5"/>
  <c r="L52" i="21"/>
  <c r="V52" i="21"/>
  <c r="B128" i="21"/>
  <c r="E128" i="21"/>
  <c r="F128" i="21" s="1"/>
  <c r="P127" i="21"/>
  <c r="C128" i="21"/>
  <c r="O127" i="21"/>
  <c r="D76" i="5" l="1"/>
  <c r="E75" i="5"/>
  <c r="F72" i="5" s="1"/>
  <c r="E74" i="5"/>
  <c r="I53" i="21"/>
  <c r="M52" i="21"/>
  <c r="C129" i="21"/>
  <c r="O128" i="21"/>
  <c r="B129" i="21"/>
  <c r="P128" i="21"/>
  <c r="E129" i="21"/>
  <c r="F129" i="21" s="1"/>
  <c r="T52" i="21"/>
  <c r="E76" i="5" l="1"/>
  <c r="F75" i="5"/>
  <c r="G72" i="5" s="1"/>
  <c r="F74" i="5"/>
  <c r="E130" i="21"/>
  <c r="P129" i="21"/>
  <c r="C130" i="21"/>
  <c r="O129" i="21"/>
  <c r="B130" i="21"/>
  <c r="F130" i="21"/>
  <c r="K53" i="21"/>
  <c r="J53" i="21" s="1"/>
  <c r="U52" i="21"/>
  <c r="S53" i="21"/>
  <c r="Q52" i="21"/>
  <c r="F76" i="5" l="1"/>
  <c r="G74" i="5"/>
  <c r="G75" i="5"/>
  <c r="H72" i="5" s="1"/>
  <c r="V53" i="21"/>
  <c r="C131" i="21"/>
  <c r="O130" i="21"/>
  <c r="B131" i="21"/>
  <c r="E131" i="21"/>
  <c r="F131" i="21" s="1"/>
  <c r="P130" i="21"/>
  <c r="H74" i="5" l="1"/>
  <c r="H75" i="5"/>
  <c r="I72" i="5" s="1"/>
  <c r="G76" i="5"/>
  <c r="I54" i="21"/>
  <c r="B132" i="21"/>
  <c r="E132" i="21"/>
  <c r="F132" i="21" s="1"/>
  <c r="P131" i="21"/>
  <c r="C132" i="21"/>
  <c r="O131" i="21"/>
  <c r="M53" i="21"/>
  <c r="T53" i="21"/>
  <c r="L53" i="21"/>
  <c r="H76" i="5" l="1"/>
  <c r="I74" i="5"/>
  <c r="I75" i="5"/>
  <c r="J72" i="5" s="1"/>
  <c r="S54" i="21"/>
  <c r="U53" i="21"/>
  <c r="K54" i="21"/>
  <c r="J54" i="21" s="1"/>
  <c r="Q53" i="21"/>
  <c r="E133" i="21"/>
  <c r="F133" i="21" s="1"/>
  <c r="P132" i="21"/>
  <c r="C133" i="21"/>
  <c r="O132" i="21"/>
  <c r="B133" i="21"/>
  <c r="I76" i="5" l="1"/>
  <c r="J75" i="5"/>
  <c r="K72" i="5" s="1"/>
  <c r="J74" i="5"/>
  <c r="T54" i="21"/>
  <c r="S55" i="21" s="1"/>
  <c r="V54" i="21"/>
  <c r="E134" i="21"/>
  <c r="P133" i="21"/>
  <c r="C134" i="21"/>
  <c r="O133" i="21"/>
  <c r="B134" i="21"/>
  <c r="F134" i="21"/>
  <c r="J76" i="5" l="1"/>
  <c r="K74" i="5"/>
  <c r="K75" i="5"/>
  <c r="L72" i="5" s="1"/>
  <c r="L54" i="21"/>
  <c r="U54" i="21"/>
  <c r="C135" i="21"/>
  <c r="O134" i="21"/>
  <c r="B135" i="21"/>
  <c r="E135" i="21"/>
  <c r="F135" i="21" s="1"/>
  <c r="P134" i="21"/>
  <c r="Q54" i="21"/>
  <c r="I55" i="21"/>
  <c r="M54" i="21"/>
  <c r="L75" i="5" l="1"/>
  <c r="M72" i="5" s="1"/>
  <c r="L74" i="5"/>
  <c r="K76" i="5"/>
  <c r="B136" i="21"/>
  <c r="E136" i="21"/>
  <c r="F136" i="21" s="1"/>
  <c r="P135" i="21"/>
  <c r="C136" i="21"/>
  <c r="O135" i="21"/>
  <c r="K55" i="21"/>
  <c r="J55" i="21" s="1"/>
  <c r="L76" i="5" l="1"/>
  <c r="M74" i="5"/>
  <c r="M75" i="5"/>
  <c r="N72" i="5" s="1"/>
  <c r="E137" i="21"/>
  <c r="F137" i="21" s="1"/>
  <c r="P136" i="21"/>
  <c r="C137" i="21"/>
  <c r="O136" i="21"/>
  <c r="B137" i="21"/>
  <c r="V55" i="21"/>
  <c r="N74" i="5" l="1"/>
  <c r="O74" i="5" s="1"/>
  <c r="N75" i="5"/>
  <c r="O75" i="5" s="1"/>
  <c r="M76" i="5"/>
  <c r="T55" i="21"/>
  <c r="Q55" i="21" s="1"/>
  <c r="I56" i="21"/>
  <c r="M55" i="21"/>
  <c r="E138" i="21"/>
  <c r="F138" i="21" s="1"/>
  <c r="P137" i="21"/>
  <c r="C138" i="21"/>
  <c r="O137" i="21"/>
  <c r="B138" i="21"/>
  <c r="L55" i="21"/>
  <c r="C80" i="5" l="1"/>
  <c r="C83" i="5" s="1"/>
  <c r="D80" i="5" s="1"/>
  <c r="N76" i="5"/>
  <c r="O76" i="5" s="1"/>
  <c r="K56" i="21"/>
  <c r="J56" i="21" s="1"/>
  <c r="U55" i="21"/>
  <c r="S56" i="21"/>
  <c r="C139" i="21"/>
  <c r="O138" i="21"/>
  <c r="B139" i="21"/>
  <c r="P138" i="21"/>
  <c r="E139" i="21"/>
  <c r="F139" i="21" s="1"/>
  <c r="C82" i="5" l="1"/>
  <c r="C84" i="5" s="1"/>
  <c r="D82" i="5"/>
  <c r="D83" i="5"/>
  <c r="E80" i="5" s="1"/>
  <c r="T56" i="21"/>
  <c r="V56" i="21"/>
  <c r="B140" i="21"/>
  <c r="E140" i="21"/>
  <c r="F140" i="21" s="1"/>
  <c r="P139" i="21"/>
  <c r="O139" i="21"/>
  <c r="C140" i="21"/>
  <c r="E82" i="5" l="1"/>
  <c r="E83" i="5"/>
  <c r="F80" i="5" s="1"/>
  <c r="D84" i="5"/>
  <c r="U56" i="21"/>
  <c r="M56" i="21"/>
  <c r="E141" i="21"/>
  <c r="F141" i="21" s="1"/>
  <c r="P140" i="21"/>
  <c r="C141" i="21"/>
  <c r="O140" i="21"/>
  <c r="B141" i="21"/>
  <c r="Q56" i="21"/>
  <c r="I57" i="21"/>
  <c r="S57" i="21"/>
  <c r="L56" i="21"/>
  <c r="E84" i="5" l="1"/>
  <c r="F83" i="5"/>
  <c r="G80" i="5" s="1"/>
  <c r="F82" i="5"/>
  <c r="E142" i="21"/>
  <c r="F142" i="21" s="1"/>
  <c r="P141" i="21"/>
  <c r="C142" i="21"/>
  <c r="O141" i="21"/>
  <c r="B142" i="21"/>
  <c r="K57" i="21"/>
  <c r="J57" i="21" s="1"/>
  <c r="F84" i="5" l="1"/>
  <c r="G83" i="5"/>
  <c r="H80" i="5" s="1"/>
  <c r="G82" i="5"/>
  <c r="C143" i="21"/>
  <c r="O142" i="21"/>
  <c r="B143" i="21"/>
  <c r="P142" i="21"/>
  <c r="E143" i="21"/>
  <c r="F143" i="21" s="1"/>
  <c r="V57" i="21"/>
  <c r="G84" i="5" l="1"/>
  <c r="H83" i="5"/>
  <c r="I80" i="5" s="1"/>
  <c r="H82" i="5"/>
  <c r="B144" i="21"/>
  <c r="E144" i="21"/>
  <c r="F144" i="21" s="1"/>
  <c r="P143" i="21"/>
  <c r="O143" i="21"/>
  <c r="C144" i="21"/>
  <c r="I58" i="21"/>
  <c r="L57" i="21"/>
  <c r="T57" i="21"/>
  <c r="Q57" i="21" s="1"/>
  <c r="M57" i="21"/>
  <c r="H84" i="5" l="1"/>
  <c r="I83" i="5"/>
  <c r="J80" i="5" s="1"/>
  <c r="I82" i="5"/>
  <c r="S58" i="21"/>
  <c r="U57" i="21"/>
  <c r="E145" i="21"/>
  <c r="F145" i="21" s="1"/>
  <c r="P144" i="21"/>
  <c r="C145" i="21"/>
  <c r="O144" i="21"/>
  <c r="B145" i="21"/>
  <c r="K58" i="21"/>
  <c r="J58" i="21" s="1"/>
  <c r="I84" i="5" l="1"/>
  <c r="J82" i="5"/>
  <c r="J83" i="5"/>
  <c r="K80" i="5" s="1"/>
  <c r="E146" i="21"/>
  <c r="P145" i="21"/>
  <c r="C146" i="21"/>
  <c r="O145" i="21"/>
  <c r="B146" i="21"/>
  <c r="F146" i="21"/>
  <c r="M58" i="21"/>
  <c r="V58" i="21"/>
  <c r="J84" i="5" l="1"/>
  <c r="K82" i="5"/>
  <c r="K83" i="5"/>
  <c r="L80" i="5" s="1"/>
  <c r="T58" i="21"/>
  <c r="Q58" i="21" s="1"/>
  <c r="C147" i="21"/>
  <c r="O146" i="21"/>
  <c r="B147" i="21"/>
  <c r="E147" i="21"/>
  <c r="F147" i="21" s="1"/>
  <c r="P146" i="21"/>
  <c r="I59" i="21"/>
  <c r="L58" i="21"/>
  <c r="L82" i="5" l="1"/>
  <c r="L83" i="5"/>
  <c r="M80" i="5" s="1"/>
  <c r="K84" i="5"/>
  <c r="U58" i="21"/>
  <c r="S59" i="21"/>
  <c r="B148" i="21"/>
  <c r="E148" i="21"/>
  <c r="F148" i="21" s="1"/>
  <c r="P147" i="21"/>
  <c r="C148" i="21"/>
  <c r="O147" i="21"/>
  <c r="K59" i="21"/>
  <c r="J59" i="21" s="1"/>
  <c r="L84" i="5" l="1"/>
  <c r="M82" i="5"/>
  <c r="M83" i="5"/>
  <c r="N80" i="5" s="1"/>
  <c r="L59" i="21"/>
  <c r="V59" i="21"/>
  <c r="E149" i="21"/>
  <c r="F149" i="21" s="1"/>
  <c r="P148" i="21"/>
  <c r="C149" i="21"/>
  <c r="O148" i="21"/>
  <c r="B149" i="21"/>
  <c r="M84" i="5" l="1"/>
  <c r="N83" i="5"/>
  <c r="O83" i="5" s="1"/>
  <c r="N82" i="5"/>
  <c r="M59" i="21"/>
  <c r="E150" i="21"/>
  <c r="P149" i="21"/>
  <c r="C150" i="21"/>
  <c r="O149" i="21"/>
  <c r="B150" i="21"/>
  <c r="F150" i="21"/>
  <c r="T59" i="21"/>
  <c r="Q59" i="21" s="1"/>
  <c r="I60" i="21"/>
  <c r="C88" i="5" l="1"/>
  <c r="C90" i="5" s="1"/>
  <c r="O82" i="5"/>
  <c r="N84" i="5"/>
  <c r="O84" i="5" s="1"/>
  <c r="C151" i="21"/>
  <c r="O150" i="21"/>
  <c r="B151" i="21"/>
  <c r="E151" i="21"/>
  <c r="F151" i="21" s="1"/>
  <c r="P150" i="21"/>
  <c r="K60" i="21"/>
  <c r="J60" i="21" s="1"/>
  <c r="S60" i="21"/>
  <c r="U59" i="21"/>
  <c r="C91" i="5" l="1"/>
  <c r="D88" i="5" s="1"/>
  <c r="D91" i="5" s="1"/>
  <c r="E88" i="5" s="1"/>
  <c r="L60" i="21"/>
  <c r="V60" i="21"/>
  <c r="B152" i="21"/>
  <c r="E152" i="21"/>
  <c r="F152" i="21" s="1"/>
  <c r="P151" i="21"/>
  <c r="C152" i="21"/>
  <c r="O151" i="21"/>
  <c r="D90" i="5" l="1"/>
  <c r="D92" i="5" s="1"/>
  <c r="C92" i="5"/>
  <c r="E91" i="5"/>
  <c r="F88" i="5" s="1"/>
  <c r="E90" i="5"/>
  <c r="M60" i="21"/>
  <c r="T60" i="21"/>
  <c r="Q60" i="21" s="1"/>
  <c r="E153" i="21"/>
  <c r="F153" i="21" s="1"/>
  <c r="P152" i="21"/>
  <c r="C153" i="21"/>
  <c r="O152" i="21"/>
  <c r="B153" i="21"/>
  <c r="I61" i="21"/>
  <c r="E92" i="5" l="1"/>
  <c r="F90" i="5"/>
  <c r="F91" i="5"/>
  <c r="G88" i="5" s="1"/>
  <c r="U60" i="21"/>
  <c r="S61" i="21"/>
  <c r="K61" i="21"/>
  <c r="J61" i="21" s="1"/>
  <c r="E154" i="21"/>
  <c r="F154" i="21" s="1"/>
  <c r="P153" i="21"/>
  <c r="C154" i="21"/>
  <c r="O153" i="21"/>
  <c r="B154" i="21"/>
  <c r="F92" i="5" l="1"/>
  <c r="G90" i="5"/>
  <c r="G91" i="5"/>
  <c r="H88" i="5" s="1"/>
  <c r="C155" i="21"/>
  <c r="O154" i="21"/>
  <c r="B155" i="21"/>
  <c r="P154" i="21"/>
  <c r="E155" i="21"/>
  <c r="F155" i="21" s="1"/>
  <c r="L61" i="21"/>
  <c r="V61" i="21"/>
  <c r="H91" i="5" l="1"/>
  <c r="I88" i="5" s="1"/>
  <c r="H90" i="5"/>
  <c r="G92" i="5"/>
  <c r="M61" i="21"/>
  <c r="B156" i="21"/>
  <c r="E156" i="21"/>
  <c r="F156" i="21" s="1"/>
  <c r="P155" i="21"/>
  <c r="O155" i="21"/>
  <c r="C156" i="21"/>
  <c r="T61" i="21"/>
  <c r="I62" i="21"/>
  <c r="H92" i="5" l="1"/>
  <c r="I91" i="5"/>
  <c r="J88" i="5" s="1"/>
  <c r="I90" i="5"/>
  <c r="K62" i="21"/>
  <c r="J62" i="21" s="1"/>
  <c r="E157" i="21"/>
  <c r="F157" i="21" s="1"/>
  <c r="P156" i="21"/>
  <c r="C157" i="21"/>
  <c r="O156" i="21"/>
  <c r="B157" i="21"/>
  <c r="U61" i="21"/>
  <c r="S62" i="21"/>
  <c r="Q61" i="21"/>
  <c r="I92" i="5" l="1"/>
  <c r="J90" i="5"/>
  <c r="J91" i="5"/>
  <c r="K88" i="5" s="1"/>
  <c r="E158" i="21"/>
  <c r="P157" i="21"/>
  <c r="C158" i="21"/>
  <c r="O157" i="21"/>
  <c r="B158" i="21"/>
  <c r="F158" i="21"/>
  <c r="T62" i="21"/>
  <c r="V62" i="21"/>
  <c r="K90" i="5" l="1"/>
  <c r="K91" i="5"/>
  <c r="L88" i="5" s="1"/>
  <c r="J92" i="5"/>
  <c r="U62" i="21"/>
  <c r="S63" i="21"/>
  <c r="M62" i="21"/>
  <c r="L62" i="21"/>
  <c r="Q62" i="21"/>
  <c r="I63" i="21"/>
  <c r="C159" i="21"/>
  <c r="O158" i="21"/>
  <c r="B159" i="21"/>
  <c r="P158" i="21"/>
  <c r="E159" i="21"/>
  <c r="F159" i="21" s="1"/>
  <c r="L90" i="5" l="1"/>
  <c r="L91" i="5"/>
  <c r="M88" i="5" s="1"/>
  <c r="K92" i="5"/>
  <c r="K63" i="21"/>
  <c r="J63" i="21" s="1"/>
  <c r="B160" i="21"/>
  <c r="E160" i="21"/>
  <c r="F160" i="21" s="1"/>
  <c r="P159" i="21"/>
  <c r="O159" i="21"/>
  <c r="C160" i="21"/>
  <c r="L92" i="5" l="1"/>
  <c r="M91" i="5"/>
  <c r="N88" i="5" s="1"/>
  <c r="M90" i="5"/>
  <c r="L63" i="21"/>
  <c r="V63" i="21"/>
  <c r="E161" i="21"/>
  <c r="F161" i="21" s="1"/>
  <c r="P160" i="21"/>
  <c r="C161" i="21"/>
  <c r="O160" i="21"/>
  <c r="B161" i="21"/>
  <c r="M92" i="5" l="1"/>
  <c r="N90" i="5"/>
  <c r="N91" i="5"/>
  <c r="O91" i="5" s="1"/>
  <c r="J5" i="5" s="1"/>
  <c r="E162" i="21"/>
  <c r="P161" i="21"/>
  <c r="C162" i="21"/>
  <c r="O161" i="21"/>
  <c r="B162" i="21"/>
  <c r="F162" i="21"/>
  <c r="M63" i="21"/>
  <c r="I64" i="21"/>
  <c r="T63" i="21"/>
  <c r="Q63" i="21" s="1"/>
  <c r="N92" i="5" l="1"/>
  <c r="O92" i="5" s="1"/>
  <c r="J4" i="5" s="1"/>
  <c r="O90" i="5"/>
  <c r="J6" i="5" s="1"/>
  <c r="S64" i="21"/>
  <c r="U63" i="21"/>
  <c r="K64" i="21"/>
  <c r="J64" i="21" s="1"/>
  <c r="C163" i="21"/>
  <c r="O162" i="21"/>
  <c r="B163" i="21"/>
  <c r="E163" i="21"/>
  <c r="F163" i="21" s="1"/>
  <c r="P162" i="21"/>
  <c r="L64" i="21" l="1"/>
  <c r="V64" i="21"/>
  <c r="B164" i="21"/>
  <c r="E164" i="21"/>
  <c r="F164" i="21" s="1"/>
  <c r="P163" i="21"/>
  <c r="C164" i="21"/>
  <c r="O163" i="21"/>
  <c r="I65" i="21" l="1"/>
  <c r="E165" i="21"/>
  <c r="F165" i="21" s="1"/>
  <c r="P164" i="21"/>
  <c r="C165" i="21"/>
  <c r="O164" i="21"/>
  <c r="B165" i="21"/>
  <c r="M64" i="21"/>
  <c r="T64" i="21"/>
  <c r="E166" i="21" l="1"/>
  <c r="P165" i="21"/>
  <c r="C166" i="21"/>
  <c r="O165" i="21"/>
  <c r="B166" i="21"/>
  <c r="F166" i="21"/>
  <c r="K65" i="21"/>
  <c r="J65" i="21" s="1"/>
  <c r="U64" i="21"/>
  <c r="S65" i="21"/>
  <c r="Q64" i="21"/>
  <c r="T65" i="21" l="1"/>
  <c r="V65" i="21"/>
  <c r="C167" i="21"/>
  <c r="O166" i="21"/>
  <c r="B167" i="21"/>
  <c r="E167" i="21"/>
  <c r="F167" i="21" s="1"/>
  <c r="P166" i="21"/>
  <c r="L65" i="21" l="1"/>
  <c r="U65" i="21"/>
  <c r="S66" i="21"/>
  <c r="Q65" i="21"/>
  <c r="I66" i="21"/>
  <c r="B168" i="21"/>
  <c r="E168" i="21"/>
  <c r="F168" i="21" s="1"/>
  <c r="P167" i="21"/>
  <c r="C168" i="21"/>
  <c r="O167" i="21"/>
  <c r="M65" i="21"/>
  <c r="K66" i="21" l="1"/>
  <c r="J66" i="21" s="1"/>
  <c r="C169" i="21"/>
  <c r="O168" i="21"/>
  <c r="E169" i="21"/>
  <c r="F169" i="21" s="1"/>
  <c r="B169" i="21"/>
  <c r="P168" i="21"/>
  <c r="B170" i="21" l="1"/>
  <c r="C170" i="21"/>
  <c r="P169" i="21"/>
  <c r="O169" i="21"/>
  <c r="E170" i="21"/>
  <c r="F170" i="21" s="1"/>
  <c r="M66" i="21"/>
  <c r="V66" i="21"/>
  <c r="T66" i="21" l="1"/>
  <c r="Q66" i="21" s="1"/>
  <c r="I67" i="21"/>
  <c r="B171" i="21"/>
  <c r="P170" i="21"/>
  <c r="O170" i="21"/>
  <c r="E171" i="21"/>
  <c r="F171" i="21" s="1"/>
  <c r="C171" i="21"/>
  <c r="L66" i="21"/>
  <c r="K67" i="21" l="1"/>
  <c r="J67" i="21" s="1"/>
  <c r="S67" i="21"/>
  <c r="U66" i="21"/>
  <c r="E172" i="21"/>
  <c r="F172" i="21" s="1"/>
  <c r="P171" i="21"/>
  <c r="O171" i="21"/>
  <c r="C172" i="21"/>
  <c r="B172" i="21"/>
  <c r="C173" i="21" l="1"/>
  <c r="O172" i="21"/>
  <c r="E173" i="21"/>
  <c r="F173" i="21" s="1"/>
  <c r="B173" i="21"/>
  <c r="P172" i="21"/>
  <c r="L67" i="21"/>
  <c r="V67" i="21"/>
  <c r="T67" i="21" l="1"/>
  <c r="Q67" i="21" s="1"/>
  <c r="B174" i="21"/>
  <c r="E174" i="21"/>
  <c r="F174" i="21" s="1"/>
  <c r="C174" i="21"/>
  <c r="P173" i="21"/>
  <c r="O173" i="21"/>
  <c r="I68" i="21"/>
  <c r="M67" i="21"/>
  <c r="E175" i="21" l="1"/>
  <c r="F175" i="21" s="1"/>
  <c r="P174" i="21"/>
  <c r="C175" i="21"/>
  <c r="O174" i="21"/>
  <c r="B175" i="21"/>
  <c r="S68" i="21"/>
  <c r="U67" i="21"/>
  <c r="K68" i="21"/>
  <c r="J68" i="21" s="1"/>
  <c r="E176" i="21" l="1"/>
  <c r="F176" i="21" s="1"/>
  <c r="P175" i="21"/>
  <c r="C176" i="21"/>
  <c r="O175" i="21"/>
  <c r="B176" i="21"/>
  <c r="V68" i="21"/>
  <c r="I69" i="21" l="1"/>
  <c r="T68" i="21"/>
  <c r="M68" i="21"/>
  <c r="C177" i="21"/>
  <c r="O176" i="21"/>
  <c r="B177" i="21"/>
  <c r="E177" i="21"/>
  <c r="F177" i="21" s="1"/>
  <c r="P176" i="21"/>
  <c r="L68" i="21"/>
  <c r="U68" i="21" l="1"/>
  <c r="S69" i="21"/>
  <c r="K69" i="21"/>
  <c r="J69" i="21" s="1"/>
  <c r="B178" i="21"/>
  <c r="E178" i="21"/>
  <c r="F178" i="21" s="1"/>
  <c r="P177" i="21"/>
  <c r="C178" i="21"/>
  <c r="O177" i="21"/>
  <c r="Q68" i="21"/>
  <c r="L69" i="21" l="1"/>
  <c r="V69" i="21"/>
  <c r="E179" i="21"/>
  <c r="F179" i="21" s="1"/>
  <c r="P178" i="21"/>
  <c r="C179" i="21"/>
  <c r="O178" i="21"/>
  <c r="B179" i="21"/>
  <c r="M69" i="21" l="1"/>
  <c r="T69" i="21"/>
  <c r="U69" i="21" s="1"/>
  <c r="I70" i="21"/>
  <c r="E180" i="21"/>
  <c r="F180" i="21" s="1"/>
  <c r="P179" i="21"/>
  <c r="C180" i="21"/>
  <c r="O179" i="21"/>
  <c r="B180" i="21"/>
  <c r="Q69" i="21" l="1"/>
  <c r="S70" i="21"/>
  <c r="E181" i="21"/>
  <c r="F181" i="21" s="1"/>
  <c r="P180" i="21"/>
  <c r="C181" i="21"/>
  <c r="O180" i="21"/>
  <c r="B181" i="21"/>
  <c r="K70" i="21"/>
  <c r="J70" i="21" s="1"/>
  <c r="M70" i="21" l="1"/>
  <c r="V70" i="21"/>
  <c r="C182" i="21"/>
  <c r="O181" i="21"/>
  <c r="B182" i="21"/>
  <c r="P181" i="21"/>
  <c r="E182" i="21"/>
  <c r="F182" i="21" s="1"/>
  <c r="B183" i="21" l="1"/>
  <c r="E183" i="21"/>
  <c r="F183" i="21" s="1"/>
  <c r="P182" i="21"/>
  <c r="O182" i="21"/>
  <c r="C183" i="21"/>
  <c r="T70" i="21"/>
  <c r="Q70" i="21" s="1"/>
  <c r="I71" i="21"/>
  <c r="L70" i="21"/>
  <c r="E184" i="21" l="1"/>
  <c r="F184" i="21" s="1"/>
  <c r="P183" i="21"/>
  <c r="C184" i="21"/>
  <c r="O183" i="21"/>
  <c r="B184" i="21"/>
  <c r="S71" i="21"/>
  <c r="U70" i="21"/>
  <c r="K71" i="21"/>
  <c r="J71" i="21" s="1"/>
  <c r="T71" i="21" l="1"/>
  <c r="S72" i="21" s="1"/>
  <c r="V71" i="21"/>
  <c r="E185" i="21"/>
  <c r="F185" i="21" s="1"/>
  <c r="P184" i="21"/>
  <c r="C185" i="21"/>
  <c r="O184" i="21"/>
  <c r="B185" i="21"/>
  <c r="C186" i="21" l="1"/>
  <c r="O185" i="21"/>
  <c r="B186" i="21"/>
  <c r="E186" i="21"/>
  <c r="F186" i="21" s="1"/>
  <c r="P185" i="21"/>
  <c r="Q71" i="21"/>
  <c r="I72" i="21"/>
  <c r="U71" i="21"/>
  <c r="L71" i="21"/>
  <c r="M71" i="21"/>
  <c r="B187" i="21" l="1"/>
  <c r="E187" i="21"/>
  <c r="F187" i="21" s="1"/>
  <c r="P186" i="21"/>
  <c r="C187" i="21"/>
  <c r="O186" i="21"/>
  <c r="K72" i="21"/>
  <c r="J72" i="21" s="1"/>
  <c r="L72" i="21" l="1"/>
  <c r="V72" i="21"/>
  <c r="E188" i="21"/>
  <c r="F188" i="21" s="1"/>
  <c r="P187" i="21"/>
  <c r="C188" i="21"/>
  <c r="O187" i="21"/>
  <c r="B188" i="21"/>
  <c r="T72" i="21" l="1"/>
  <c r="I73" i="21"/>
  <c r="E189" i="21"/>
  <c r="P188" i="21"/>
  <c r="C189" i="21"/>
  <c r="O188" i="21"/>
  <c r="B189" i="21"/>
  <c r="F189" i="21"/>
  <c r="M72" i="21"/>
  <c r="C190" i="21" l="1"/>
  <c r="O189" i="21"/>
  <c r="B190" i="21"/>
  <c r="E190" i="21"/>
  <c r="F190" i="21" s="1"/>
  <c r="P189" i="21"/>
  <c r="K73" i="21"/>
  <c r="J73" i="21" s="1"/>
  <c r="U72" i="21"/>
  <c r="S73" i="21"/>
  <c r="Q72" i="21"/>
  <c r="T73" i="21" l="1"/>
  <c r="V73" i="21"/>
  <c r="B191" i="21"/>
  <c r="E191" i="21"/>
  <c r="F191" i="21" s="1"/>
  <c r="P190" i="21"/>
  <c r="C191" i="21"/>
  <c r="O190" i="21"/>
  <c r="U73" i="21" l="1"/>
  <c r="L73" i="21"/>
  <c r="S74" i="21"/>
  <c r="E192" i="21"/>
  <c r="F192" i="21" s="1"/>
  <c r="P191" i="21"/>
  <c r="C192" i="21"/>
  <c r="O191" i="21"/>
  <c r="B192" i="21"/>
  <c r="Q73" i="21"/>
  <c r="I74" i="21"/>
  <c r="M73" i="21"/>
  <c r="K74" i="21" l="1"/>
  <c r="J74" i="21" s="1"/>
  <c r="E193" i="21"/>
  <c r="P192" i="21"/>
  <c r="C193" i="21"/>
  <c r="O192" i="21"/>
  <c r="B193" i="21"/>
  <c r="F193" i="21"/>
  <c r="C194" i="21" l="1"/>
  <c r="O193" i="21"/>
  <c r="B194" i="21"/>
  <c r="F194" i="21"/>
  <c r="P193" i="21"/>
  <c r="E194" i="21"/>
  <c r="M74" i="21"/>
  <c r="V74" i="21"/>
  <c r="T74" i="21" l="1"/>
  <c r="I75" i="21"/>
  <c r="L74" i="21"/>
  <c r="B195" i="21"/>
  <c r="E195" i="21"/>
  <c r="F195" i="21" s="1"/>
  <c r="P194" i="21"/>
  <c r="O194" i="21"/>
  <c r="C195" i="21"/>
  <c r="K75" i="21" l="1"/>
  <c r="J75" i="21" s="1"/>
  <c r="U74" i="21"/>
  <c r="S75" i="21"/>
  <c r="E196" i="21"/>
  <c r="F196" i="21" s="1"/>
  <c r="P195" i="21"/>
  <c r="C196" i="21"/>
  <c r="O195" i="21"/>
  <c r="B196" i="21"/>
  <c r="Q74" i="21"/>
  <c r="E197" i="21" l="1"/>
  <c r="F197" i="21" s="1"/>
  <c r="P196" i="21"/>
  <c r="C197" i="21"/>
  <c r="O196" i="21"/>
  <c r="B197" i="21"/>
  <c r="T75" i="21"/>
  <c r="V75" i="21"/>
  <c r="S76" i="21" l="1"/>
  <c r="U75" i="21"/>
  <c r="M75" i="21"/>
  <c r="Q75" i="21"/>
  <c r="I76" i="21"/>
  <c r="L75" i="21"/>
  <c r="C198" i="21"/>
  <c r="O197" i="21"/>
  <c r="B198" i="21"/>
  <c r="P197" i="21"/>
  <c r="E198" i="21"/>
  <c r="F198" i="21" s="1"/>
  <c r="K76" i="21" l="1"/>
  <c r="B199" i="21"/>
  <c r="E199" i="21"/>
  <c r="F199" i="21" s="1"/>
  <c r="P198" i="21"/>
  <c r="O198" i="21"/>
  <c r="C199" i="21"/>
  <c r="V76" i="21" l="1"/>
  <c r="E200" i="21"/>
  <c r="F200" i="21" s="1"/>
  <c r="P199" i="21"/>
  <c r="C200" i="21"/>
  <c r="O199" i="21"/>
  <c r="B200" i="21"/>
  <c r="L76" i="21" l="1"/>
  <c r="T76" i="21"/>
  <c r="I77" i="21"/>
  <c r="M76" i="21"/>
  <c r="E201" i="21"/>
  <c r="F201" i="21" s="1"/>
  <c r="P200" i="21"/>
  <c r="C201" i="21"/>
  <c r="O200" i="21"/>
  <c r="B201" i="21"/>
  <c r="U76" i="21" l="1"/>
  <c r="S77" i="21"/>
  <c r="C202" i="21"/>
  <c r="O201" i="21"/>
  <c r="B202" i="21"/>
  <c r="E202" i="21"/>
  <c r="F202" i="21" s="1"/>
  <c r="P201" i="21"/>
  <c r="Q76" i="21"/>
  <c r="K77" i="21"/>
  <c r="T77" i="21" l="1"/>
  <c r="V77" i="21"/>
  <c r="B203" i="21"/>
  <c r="E203" i="21"/>
  <c r="F203" i="21" s="1"/>
  <c r="P202" i="21"/>
  <c r="C203" i="21"/>
  <c r="O202" i="21"/>
  <c r="U77" i="21" l="1"/>
  <c r="S78" i="21"/>
  <c r="L77" i="21"/>
  <c r="E204" i="21"/>
  <c r="F204" i="21" s="1"/>
  <c r="P203" i="21"/>
  <c r="C204" i="21"/>
  <c r="O203" i="21"/>
  <c r="B204" i="21"/>
  <c r="Q77" i="21"/>
  <c r="I78" i="21"/>
  <c r="M77" i="21"/>
  <c r="E205" i="21" l="1"/>
  <c r="F205" i="21" s="1"/>
  <c r="P204" i="21"/>
  <c r="C205" i="21"/>
  <c r="O204" i="21"/>
  <c r="B205" i="21"/>
  <c r="K78" i="21"/>
  <c r="C206" i="21" l="1"/>
  <c r="O205" i="21"/>
  <c r="B206" i="21"/>
  <c r="E206" i="21"/>
  <c r="F206" i="21" s="1"/>
  <c r="P205" i="21"/>
  <c r="V78" i="21"/>
  <c r="B207" i="21" l="1"/>
  <c r="E207" i="21"/>
  <c r="F207" i="21" s="1"/>
  <c r="P206" i="21"/>
  <c r="C207" i="21"/>
  <c r="O206" i="21"/>
  <c r="T78" i="21"/>
  <c r="I79" i="21"/>
  <c r="L78" i="21"/>
  <c r="M78" i="21"/>
  <c r="S79" i="21" l="1"/>
  <c r="U78" i="21"/>
  <c r="Q78" i="21"/>
  <c r="E208" i="21"/>
  <c r="F208" i="21" s="1"/>
  <c r="P207" i="21"/>
  <c r="C208" i="21"/>
  <c r="O207" i="21"/>
  <c r="B208" i="21"/>
  <c r="K79" i="21"/>
  <c r="E209" i="21" l="1"/>
  <c r="F209" i="21" s="1"/>
  <c r="P208" i="21"/>
  <c r="C209" i="21"/>
  <c r="O208" i="21"/>
  <c r="B209" i="21"/>
  <c r="M79" i="21"/>
  <c r="V79" i="21"/>
  <c r="I80" i="21" l="1"/>
  <c r="T79" i="21"/>
  <c r="L79" i="21"/>
  <c r="C210" i="21"/>
  <c r="O209" i="21"/>
  <c r="B210" i="21"/>
  <c r="P209" i="21"/>
  <c r="E210" i="21"/>
  <c r="F210" i="21" s="1"/>
  <c r="S80" i="21" l="1"/>
  <c r="U79" i="21"/>
  <c r="K80" i="21"/>
  <c r="B211" i="21"/>
  <c r="E211" i="21"/>
  <c r="F211" i="21" s="1"/>
  <c r="P210" i="21"/>
  <c r="O210" i="21"/>
  <c r="C211" i="21"/>
  <c r="Q79" i="21"/>
  <c r="M80" i="21" l="1"/>
  <c r="V80" i="21"/>
  <c r="E212" i="21"/>
  <c r="F212" i="21" s="1"/>
  <c r="P211" i="21"/>
  <c r="C212" i="21"/>
  <c r="O211" i="21"/>
  <c r="B212" i="21"/>
  <c r="L80" i="21" l="1"/>
  <c r="I81" i="21"/>
  <c r="E213" i="21"/>
  <c r="P212" i="21"/>
  <c r="C213" i="21"/>
  <c r="O212" i="21"/>
  <c r="B213" i="21"/>
  <c r="F213" i="21"/>
  <c r="T80" i="21"/>
  <c r="Q80" i="21" s="1"/>
  <c r="C214" i="21" l="1"/>
  <c r="O213" i="21"/>
  <c r="B214" i="21"/>
  <c r="P213" i="21"/>
  <c r="E214" i="21"/>
  <c r="F214" i="21" s="1"/>
  <c r="K81" i="21"/>
  <c r="U80" i="21"/>
  <c r="S81" i="21"/>
  <c r="L81" i="21" l="1"/>
  <c r="V81" i="21"/>
  <c r="B215" i="21"/>
  <c r="E215" i="21"/>
  <c r="F215" i="21" s="1"/>
  <c r="P214" i="21"/>
  <c r="O214" i="21"/>
  <c r="C215" i="21"/>
  <c r="T81" i="21" l="1"/>
  <c r="U81" i="21" s="1"/>
  <c r="E216" i="21"/>
  <c r="F216" i="21" s="1"/>
  <c r="P215" i="21"/>
  <c r="C216" i="21"/>
  <c r="O215" i="21"/>
  <c r="B216" i="21"/>
  <c r="I82" i="21"/>
  <c r="S82" i="21"/>
  <c r="M81" i="21"/>
  <c r="Q81" i="21" l="1"/>
  <c r="K82" i="21"/>
  <c r="E217" i="21"/>
  <c r="P216" i="21"/>
  <c r="C217" i="21"/>
  <c r="O216" i="21"/>
  <c r="B217" i="21"/>
  <c r="F217" i="21"/>
  <c r="V82" i="21" l="1"/>
  <c r="C218" i="21"/>
  <c r="O217" i="21"/>
  <c r="B218" i="21"/>
  <c r="E218" i="21"/>
  <c r="F218" i="21" s="1"/>
  <c r="P217" i="21"/>
  <c r="B219" i="21" l="1"/>
  <c r="E219" i="21"/>
  <c r="F219" i="21" s="1"/>
  <c r="P218" i="21"/>
  <c r="C219" i="21"/>
  <c r="O218" i="21"/>
  <c r="I83" i="21"/>
  <c r="T82" i="21"/>
  <c r="Q82" i="21" s="1"/>
  <c r="M82" i="21"/>
  <c r="L82" i="21"/>
  <c r="K83" i="21" l="1"/>
  <c r="E220" i="21"/>
  <c r="F220" i="21" s="1"/>
  <c r="P219" i="21"/>
  <c r="C220" i="21"/>
  <c r="O219" i="21"/>
  <c r="B220" i="21"/>
  <c r="S83" i="21"/>
  <c r="U82" i="21"/>
  <c r="T83" i="21" l="1"/>
  <c r="S84" i="21" s="1"/>
  <c r="V83" i="21"/>
  <c r="E221" i="21"/>
  <c r="P220" i="21"/>
  <c r="C221" i="21"/>
  <c r="O220" i="21"/>
  <c r="B221" i="21"/>
  <c r="F221" i="21"/>
  <c r="L83" i="21"/>
  <c r="M83" i="21" l="1"/>
  <c r="C222" i="21"/>
  <c r="O221" i="21"/>
  <c r="B222" i="21"/>
  <c r="E222" i="21"/>
  <c r="F222" i="21" s="1"/>
  <c r="P221" i="21"/>
  <c r="Q83" i="21"/>
  <c r="I84" i="21"/>
  <c r="U83" i="21"/>
  <c r="B223" i="21" l="1"/>
  <c r="E223" i="21"/>
  <c r="F223" i="21" s="1"/>
  <c r="P222" i="21"/>
  <c r="C223" i="21"/>
  <c r="O222" i="21"/>
  <c r="K84" i="21"/>
  <c r="M84" i="21" l="1"/>
  <c r="V84" i="21"/>
  <c r="E224" i="21"/>
  <c r="F224" i="21" s="1"/>
  <c r="P223" i="21"/>
  <c r="C224" i="21"/>
  <c r="O223" i="21"/>
  <c r="B224" i="21"/>
  <c r="E225" i="21" l="1"/>
  <c r="F225" i="21" s="1"/>
  <c r="P224" i="21"/>
  <c r="C225" i="21"/>
  <c r="O224" i="21"/>
  <c r="B225" i="21"/>
  <c r="T84" i="21"/>
  <c r="I85" i="21"/>
  <c r="L84" i="21"/>
  <c r="U84" i="21" l="1"/>
  <c r="S85" i="21"/>
  <c r="Q84" i="21"/>
  <c r="K85" i="21"/>
  <c r="C226" i="21"/>
  <c r="O225" i="21"/>
  <c r="B226" i="21"/>
  <c r="P225" i="21"/>
  <c r="E226" i="21"/>
  <c r="F226" i="21" s="1"/>
  <c r="C227" i="21" l="1"/>
  <c r="O226" i="21"/>
  <c r="P226" i="21"/>
  <c r="E227" i="21"/>
  <c r="F227" i="21" s="1"/>
  <c r="B227" i="21"/>
  <c r="V85" i="21"/>
  <c r="I86" i="21" l="1"/>
  <c r="M85" i="21"/>
  <c r="B228" i="21"/>
  <c r="F228" i="21"/>
  <c r="O227" i="21"/>
  <c r="E228" i="21"/>
  <c r="C228" i="21"/>
  <c r="P227" i="21"/>
  <c r="T85" i="21"/>
  <c r="L85" i="21"/>
  <c r="K86" i="21" l="1"/>
  <c r="U85" i="21"/>
  <c r="S86" i="21"/>
  <c r="F229" i="21"/>
  <c r="E229" i="21"/>
  <c r="C229" i="21"/>
  <c r="B229" i="21"/>
  <c r="P228" i="21"/>
  <c r="O228" i="21"/>
  <c r="Q85" i="21"/>
  <c r="E230" i="21" l="1"/>
  <c r="F230" i="21" s="1"/>
  <c r="P229" i="21"/>
  <c r="C230" i="21"/>
  <c r="B230" i="21"/>
  <c r="O229" i="21"/>
  <c r="T86" i="21"/>
  <c r="S87" i="21" s="1"/>
  <c r="V86" i="21"/>
  <c r="Q86" i="21" l="1"/>
  <c r="I87" i="21"/>
  <c r="L86" i="21"/>
  <c r="U86" i="21"/>
  <c r="M86" i="21"/>
  <c r="C231" i="21"/>
  <c r="O230" i="21"/>
  <c r="B231" i="21"/>
  <c r="E231" i="21"/>
  <c r="P230" i="21"/>
  <c r="F231" i="21"/>
  <c r="B232" i="21" l="1"/>
  <c r="E232" i="21"/>
  <c r="F232" i="21" s="1"/>
  <c r="P231" i="21"/>
  <c r="O231" i="21"/>
  <c r="C232" i="21"/>
  <c r="K87" i="21"/>
  <c r="L87" i="21" l="1"/>
  <c r="V87" i="21"/>
  <c r="E233" i="21"/>
  <c r="F233" i="21" s="1"/>
  <c r="P232" i="21"/>
  <c r="C233" i="21"/>
  <c r="O232" i="21"/>
  <c r="B233" i="21"/>
  <c r="T87" i="21" l="1"/>
  <c r="I88" i="21"/>
  <c r="E234" i="21"/>
  <c r="P233" i="21"/>
  <c r="C234" i="21"/>
  <c r="O233" i="21"/>
  <c r="B234" i="21"/>
  <c r="F234" i="21"/>
  <c r="M87" i="21"/>
  <c r="K88" i="21" l="1"/>
  <c r="S88" i="21"/>
  <c r="U87" i="21"/>
  <c r="Q87" i="21"/>
  <c r="C235" i="21"/>
  <c r="O234" i="21"/>
  <c r="B235" i="21"/>
  <c r="P234" i="21"/>
  <c r="E235" i="21"/>
  <c r="F235" i="21" s="1"/>
  <c r="B236" i="21" l="1"/>
  <c r="E236" i="21"/>
  <c r="F236" i="21" s="1"/>
  <c r="P235" i="21"/>
  <c r="O235" i="21"/>
  <c r="C236" i="21"/>
  <c r="M88" i="21"/>
  <c r="V88" i="21"/>
  <c r="L88" i="21" l="1"/>
  <c r="I89" i="21"/>
  <c r="E237" i="21"/>
  <c r="F237" i="21" s="1"/>
  <c r="P236" i="21"/>
  <c r="C237" i="21"/>
  <c r="O236" i="21"/>
  <c r="B237" i="21"/>
  <c r="T88" i="21"/>
  <c r="Q88" i="21" s="1"/>
  <c r="E238" i="21" l="1"/>
  <c r="P237" i="21"/>
  <c r="C238" i="21"/>
  <c r="O237" i="21"/>
  <c r="B238" i="21"/>
  <c r="F238" i="21"/>
  <c r="K89" i="21"/>
  <c r="U88" i="21"/>
  <c r="S89" i="21"/>
  <c r="T89" i="21" l="1"/>
  <c r="U89" i="21" s="1"/>
  <c r="V89" i="21"/>
  <c r="C239" i="21"/>
  <c r="O238" i="21"/>
  <c r="B239" i="21"/>
  <c r="E239" i="21"/>
  <c r="F239" i="21" s="1"/>
  <c r="P238" i="21"/>
  <c r="L89" i="21" l="1"/>
  <c r="S90" i="21"/>
  <c r="Q89" i="21"/>
  <c r="I90" i="21"/>
  <c r="B240" i="21"/>
  <c r="E240" i="21"/>
  <c r="F240" i="21" s="1"/>
  <c r="P239" i="21"/>
  <c r="C240" i="21"/>
  <c r="O239" i="21"/>
  <c r="M89" i="21"/>
  <c r="E241" i="21" l="1"/>
  <c r="F241" i="21" s="1"/>
  <c r="P240" i="21"/>
  <c r="C241" i="21"/>
  <c r="O240" i="21"/>
  <c r="B241" i="21"/>
  <c r="K90" i="21"/>
  <c r="L90" i="21" l="1"/>
  <c r="V90" i="21"/>
  <c r="E242" i="21"/>
  <c r="F242" i="21" s="1"/>
  <c r="P241" i="21"/>
  <c r="C242" i="21"/>
  <c r="O241" i="21"/>
  <c r="B242" i="21"/>
  <c r="T90" i="21" l="1"/>
  <c r="I91" i="21"/>
  <c r="C243" i="21"/>
  <c r="O242" i="21"/>
  <c r="B243" i="21"/>
  <c r="E243" i="21"/>
  <c r="F243" i="21" s="1"/>
  <c r="P242" i="21"/>
  <c r="M90" i="21"/>
  <c r="S91" i="21" l="1"/>
  <c r="U90" i="21"/>
  <c r="Q90" i="21"/>
  <c r="K91" i="21"/>
  <c r="B244" i="21"/>
  <c r="E244" i="21"/>
  <c r="F244" i="21" s="1"/>
  <c r="P243" i="21"/>
  <c r="C244" i="21"/>
  <c r="O243" i="21"/>
  <c r="E245" i="21" l="1"/>
  <c r="F245" i="21" s="1"/>
  <c r="P244" i="21"/>
  <c r="C245" i="21"/>
  <c r="O244" i="21"/>
  <c r="B245" i="21"/>
  <c r="V91" i="21"/>
  <c r="I92" i="21" l="1"/>
  <c r="E246" i="21"/>
  <c r="P245" i="21"/>
  <c r="C246" i="21"/>
  <c r="O245" i="21"/>
  <c r="B246" i="21"/>
  <c r="F246" i="21"/>
  <c r="L91" i="21"/>
  <c r="M91" i="21"/>
  <c r="T91" i="21"/>
  <c r="Q91" i="21" s="1"/>
  <c r="S92" i="21" l="1"/>
  <c r="U91" i="21"/>
  <c r="C247" i="21"/>
  <c r="O246" i="21"/>
  <c r="B247" i="21"/>
  <c r="P246" i="21"/>
  <c r="E247" i="21"/>
  <c r="F247" i="21" s="1"/>
  <c r="K92" i="21"/>
  <c r="B248" i="21" l="1"/>
  <c r="E248" i="21"/>
  <c r="F248" i="21" s="1"/>
  <c r="P247" i="21"/>
  <c r="O247" i="21"/>
  <c r="C248" i="21"/>
  <c r="V92" i="21"/>
  <c r="I93" i="21" l="1"/>
  <c r="T92" i="21"/>
  <c r="Q92" i="21" s="1"/>
  <c r="L92" i="21"/>
  <c r="E249" i="21"/>
  <c r="F249" i="21" s="1"/>
  <c r="P248" i="21"/>
  <c r="C249" i="21"/>
  <c r="O248" i="21"/>
  <c r="B249" i="21"/>
  <c r="M92" i="21"/>
  <c r="U92" i="21" l="1"/>
  <c r="S93" i="21"/>
  <c r="K93" i="21"/>
  <c r="E250" i="21"/>
  <c r="F250" i="21" s="1"/>
  <c r="P249" i="21"/>
  <c r="C250" i="21"/>
  <c r="O249" i="21"/>
  <c r="B250" i="21"/>
  <c r="T93" i="21" l="1"/>
  <c r="S94" i="21" s="1"/>
  <c r="V93" i="21"/>
  <c r="C251" i="21"/>
  <c r="O250" i="21"/>
  <c r="B251" i="21"/>
  <c r="P250" i="21"/>
  <c r="E251" i="21"/>
  <c r="F251" i="21" s="1"/>
  <c r="L93" i="21" l="1"/>
  <c r="U93" i="21"/>
  <c r="Q93" i="21"/>
  <c r="I94" i="21"/>
  <c r="B252" i="21"/>
  <c r="E252" i="21"/>
  <c r="F252" i="21" s="1"/>
  <c r="P251" i="21"/>
  <c r="O251" i="21"/>
  <c r="C252" i="21"/>
  <c r="M93" i="21"/>
  <c r="E253" i="21" l="1"/>
  <c r="F253" i="21" s="1"/>
  <c r="P252" i="21"/>
  <c r="C253" i="21"/>
  <c r="O252" i="21"/>
  <c r="B253" i="21"/>
  <c r="K94" i="21"/>
  <c r="L94" i="21" l="1"/>
  <c r="V94" i="21"/>
  <c r="E254" i="21"/>
  <c r="F254" i="21" s="1"/>
  <c r="P253" i="21"/>
  <c r="C254" i="21"/>
  <c r="O253" i="21"/>
  <c r="B254" i="21"/>
  <c r="T94" i="21" l="1"/>
  <c r="I95" i="21"/>
  <c r="C255" i="21"/>
  <c r="O254" i="21"/>
  <c r="B255" i="21"/>
  <c r="E255" i="21"/>
  <c r="F255" i="21" s="1"/>
  <c r="P254" i="21"/>
  <c r="M94" i="21"/>
  <c r="K95" i="21" l="1"/>
  <c r="S95" i="21"/>
  <c r="U94" i="21"/>
  <c r="Q94" i="21"/>
  <c r="B256" i="21"/>
  <c r="E256" i="21"/>
  <c r="F256" i="21" s="1"/>
  <c r="P255" i="21"/>
  <c r="C256" i="21"/>
  <c r="O255" i="21"/>
  <c r="T95" i="21" l="1"/>
  <c r="S96" i="21" s="1"/>
  <c r="V95" i="21"/>
  <c r="E257" i="21"/>
  <c r="F257" i="21" s="1"/>
  <c r="P256" i="21"/>
  <c r="C257" i="21"/>
  <c r="O256" i="21"/>
  <c r="B257" i="21"/>
  <c r="E258" i="21" l="1"/>
  <c r="P257" i="21"/>
  <c r="C258" i="21"/>
  <c r="O257" i="21"/>
  <c r="B258" i="21"/>
  <c r="F258" i="21"/>
  <c r="Q95" i="21"/>
  <c r="I96" i="21"/>
  <c r="U95" i="21"/>
  <c r="L95" i="21"/>
  <c r="M95" i="21"/>
  <c r="C259" i="21" l="1"/>
  <c r="O258" i="21"/>
  <c r="B259" i="21"/>
  <c r="E259" i="21"/>
  <c r="F259" i="21" s="1"/>
  <c r="P258" i="21"/>
  <c r="K96" i="21"/>
  <c r="B260" i="21" l="1"/>
  <c r="E260" i="21"/>
  <c r="F260" i="21" s="1"/>
  <c r="P259" i="21"/>
  <c r="C260" i="21"/>
  <c r="O259" i="21"/>
  <c r="V96" i="21"/>
  <c r="T96" i="21" l="1"/>
  <c r="I97" i="21"/>
  <c r="E261" i="21"/>
  <c r="F261" i="21" s="1"/>
  <c r="P260" i="21"/>
  <c r="C261" i="21"/>
  <c r="O260" i="21"/>
  <c r="B261" i="21"/>
  <c r="M96" i="21"/>
  <c r="L96" i="21"/>
  <c r="K97" i="21" l="1"/>
  <c r="U96" i="21"/>
  <c r="S97" i="21"/>
  <c r="Q96" i="21"/>
  <c r="E262" i="21"/>
  <c r="F262" i="21" s="1"/>
  <c r="P261" i="21"/>
  <c r="C262" i="21"/>
  <c r="O261" i="21"/>
  <c r="B262" i="21"/>
  <c r="C263" i="21" l="1"/>
  <c r="O262" i="21"/>
  <c r="B263" i="21"/>
  <c r="P262" i="21"/>
  <c r="E263" i="21"/>
  <c r="F263" i="21" s="1"/>
  <c r="M97" i="21"/>
  <c r="V97" i="21"/>
  <c r="L97" i="21" l="1"/>
  <c r="B264" i="21"/>
  <c r="E264" i="21"/>
  <c r="F264" i="21" s="1"/>
  <c r="P263" i="21"/>
  <c r="O263" i="21"/>
  <c r="C264" i="21"/>
  <c r="Q97" i="21"/>
  <c r="I98" i="21"/>
  <c r="T97" i="21"/>
  <c r="S98" i="21" l="1"/>
  <c r="U97" i="21"/>
  <c r="E265" i="21"/>
  <c r="F265" i="21" s="1"/>
  <c r="P264" i="21"/>
  <c r="C265" i="21"/>
  <c r="O264" i="21"/>
  <c r="B265" i="21"/>
  <c r="K98" i="21"/>
  <c r="E266" i="21" l="1"/>
  <c r="F266" i="21" s="1"/>
  <c r="P265" i="21"/>
  <c r="C266" i="21"/>
  <c r="O265" i="21"/>
  <c r="B266" i="21"/>
  <c r="V98" i="21"/>
  <c r="I99" i="21" l="1"/>
  <c r="L98" i="21"/>
  <c r="C267" i="21"/>
  <c r="O266" i="21"/>
  <c r="B267" i="21"/>
  <c r="P266" i="21"/>
  <c r="E267" i="21"/>
  <c r="F267" i="21" s="1"/>
  <c r="M98" i="21"/>
  <c r="T98" i="21"/>
  <c r="Q98" i="21" s="1"/>
  <c r="S99" i="21" l="1"/>
  <c r="U98" i="21"/>
  <c r="K99" i="21"/>
  <c r="B268" i="21"/>
  <c r="E268" i="21"/>
  <c r="F268" i="21" s="1"/>
  <c r="P267" i="21"/>
  <c r="O267" i="21"/>
  <c r="C268" i="21"/>
  <c r="T99" i="21" l="1"/>
  <c r="S100" i="21" s="1"/>
  <c r="V99" i="21"/>
  <c r="E269" i="21"/>
  <c r="F269" i="21" s="1"/>
  <c r="P268" i="21"/>
  <c r="C269" i="21"/>
  <c r="O268" i="21"/>
  <c r="B269" i="21"/>
  <c r="M99" i="21" l="1"/>
  <c r="E270" i="21"/>
  <c r="F270" i="21" s="1"/>
  <c r="P269" i="21"/>
  <c r="C270" i="21"/>
  <c r="O269" i="21"/>
  <c r="B270" i="21"/>
  <c r="U99" i="21"/>
  <c r="Q99" i="21"/>
  <c r="I100" i="21"/>
  <c r="L99" i="21"/>
  <c r="C271" i="21" l="1"/>
  <c r="O270" i="21"/>
  <c r="B271" i="21"/>
  <c r="E271" i="21"/>
  <c r="F271" i="21" s="1"/>
  <c r="P270" i="21"/>
  <c r="K100" i="21"/>
  <c r="B272" i="21" l="1"/>
  <c r="E272" i="21"/>
  <c r="F272" i="21" s="1"/>
  <c r="P271" i="21"/>
  <c r="C272" i="21"/>
  <c r="O271" i="21"/>
  <c r="V100" i="21"/>
  <c r="T100" i="21" l="1"/>
  <c r="I101" i="21"/>
  <c r="E273" i="21"/>
  <c r="F273" i="21" s="1"/>
  <c r="P272" i="21"/>
  <c r="C273" i="21"/>
  <c r="O272" i="21"/>
  <c r="B273" i="21"/>
  <c r="L100" i="21"/>
  <c r="M100" i="21"/>
  <c r="E274" i="21" l="1"/>
  <c r="P273" i="21"/>
  <c r="C274" i="21"/>
  <c r="O273" i="21"/>
  <c r="B274" i="21"/>
  <c r="F274" i="21"/>
  <c r="K101" i="21"/>
  <c r="U100" i="21"/>
  <c r="S101" i="21"/>
  <c r="Q100" i="21"/>
  <c r="L101" i="21" l="1"/>
  <c r="V101" i="21"/>
  <c r="C275" i="21"/>
  <c r="O274" i="21"/>
  <c r="B275" i="21"/>
  <c r="E275" i="21"/>
  <c r="F275" i="21" s="1"/>
  <c r="P274" i="21"/>
  <c r="I102" i="21" l="1"/>
  <c r="M101" i="21"/>
  <c r="T101" i="21"/>
  <c r="Q101" i="21" s="1"/>
  <c r="B276" i="21"/>
  <c r="E276" i="21"/>
  <c r="F276" i="21" s="1"/>
  <c r="P275" i="21"/>
  <c r="C276" i="21"/>
  <c r="O275" i="21"/>
  <c r="E277" i="21" l="1"/>
  <c r="F277" i="21" s="1"/>
  <c r="P276" i="21"/>
  <c r="C277" i="21"/>
  <c r="O276" i="21"/>
  <c r="B277" i="21"/>
  <c r="K102" i="21"/>
  <c r="U101" i="21"/>
  <c r="S102" i="21"/>
  <c r="E278" i="21" l="1"/>
  <c r="F278" i="21" s="1"/>
  <c r="P277" i="21"/>
  <c r="C278" i="21"/>
  <c r="O277" i="21"/>
  <c r="B278" i="21"/>
  <c r="L102" i="21"/>
  <c r="V102" i="21"/>
  <c r="T102" i="21" l="1"/>
  <c r="Q102" i="21" s="1"/>
  <c r="I103" i="21"/>
  <c r="M102" i="21"/>
  <c r="C279" i="21"/>
  <c r="O278" i="21"/>
  <c r="B279" i="21"/>
  <c r="P278" i="21"/>
  <c r="E279" i="21"/>
  <c r="F279" i="21" s="1"/>
  <c r="K103" i="21" l="1"/>
  <c r="B280" i="21"/>
  <c r="E280" i="21"/>
  <c r="F280" i="21" s="1"/>
  <c r="P279" i="21"/>
  <c r="O279" i="21"/>
  <c r="C280" i="21"/>
  <c r="S103" i="21"/>
  <c r="U102" i="21"/>
  <c r="L103" i="21" l="1"/>
  <c r="V103" i="21"/>
  <c r="E281" i="21"/>
  <c r="F281" i="21" s="1"/>
  <c r="P280" i="21"/>
  <c r="C281" i="21"/>
  <c r="O280" i="21"/>
  <c r="B281" i="21"/>
  <c r="M103" i="21" l="1"/>
  <c r="T103" i="21"/>
  <c r="U103" i="21" s="1"/>
  <c r="I104" i="21"/>
  <c r="E282" i="21"/>
  <c r="F282" i="21" s="1"/>
  <c r="P281" i="21"/>
  <c r="C282" i="21"/>
  <c r="O281" i="21"/>
  <c r="B282" i="21"/>
  <c r="Q103" i="21" l="1"/>
  <c r="S104" i="21"/>
  <c r="C283" i="21"/>
  <c r="O282" i="21"/>
  <c r="B283" i="21"/>
  <c r="P282" i="21"/>
  <c r="E283" i="21"/>
  <c r="F283" i="21" s="1"/>
  <c r="K104" i="21"/>
  <c r="B284" i="21" l="1"/>
  <c r="E284" i="21"/>
  <c r="F284" i="21" s="1"/>
  <c r="P283" i="21"/>
  <c r="O283" i="21"/>
  <c r="C284" i="21"/>
  <c r="V104" i="21"/>
  <c r="T104" i="21" l="1"/>
  <c r="I105" i="21"/>
  <c r="E285" i="21"/>
  <c r="F285" i="21" s="1"/>
  <c r="P284" i="21"/>
  <c r="C285" i="21"/>
  <c r="O284" i="21"/>
  <c r="B285" i="21"/>
  <c r="L104" i="21"/>
  <c r="M104" i="21"/>
  <c r="B286" i="21" l="1"/>
  <c r="P285" i="21"/>
  <c r="O285" i="21"/>
  <c r="E286" i="21"/>
  <c r="F286" i="21" s="1"/>
  <c r="C286" i="21"/>
  <c r="K105" i="21"/>
  <c r="S105" i="21"/>
  <c r="U104" i="21"/>
  <c r="Q104" i="21"/>
  <c r="M105" i="21" l="1"/>
  <c r="V105" i="21"/>
  <c r="E287" i="21"/>
  <c r="P286" i="21"/>
  <c r="O286" i="21"/>
  <c r="F287" i="21"/>
  <c r="C287" i="21"/>
  <c r="B287" i="21"/>
  <c r="L105" i="21" l="1"/>
  <c r="I106" i="21"/>
  <c r="C288" i="21"/>
  <c r="O287" i="21"/>
  <c r="E288" i="21"/>
  <c r="F288" i="21" s="1"/>
  <c r="B288" i="21"/>
  <c r="P287" i="21"/>
  <c r="T105" i="21"/>
  <c r="Q105" i="21" s="1"/>
  <c r="B289" i="21" l="1"/>
  <c r="E289" i="21"/>
  <c r="F289" i="21"/>
  <c r="C289" i="21"/>
  <c r="P288" i="21"/>
  <c r="O288" i="21"/>
  <c r="K106" i="21"/>
  <c r="S106" i="21"/>
  <c r="U105" i="21"/>
  <c r="L106" i="21" l="1"/>
  <c r="V106" i="21"/>
  <c r="C290" i="21"/>
  <c r="O289" i="21"/>
  <c r="E290" i="21"/>
  <c r="F290" i="21" s="1"/>
  <c r="P289" i="21"/>
  <c r="B290" i="21"/>
  <c r="T106" i="21"/>
  <c r="S107" i="21" s="1"/>
  <c r="Q106" i="21" l="1"/>
  <c r="I107" i="21"/>
  <c r="U106" i="21"/>
  <c r="M106" i="21"/>
  <c r="E291" i="21"/>
  <c r="F291" i="21" s="1"/>
  <c r="P290" i="21"/>
  <c r="B291" i="21"/>
  <c r="C291" i="21"/>
  <c r="O290" i="21"/>
  <c r="K107" i="21" l="1"/>
  <c r="C292" i="21"/>
  <c r="O291" i="21"/>
  <c r="B292" i="21"/>
  <c r="E292" i="21"/>
  <c r="F292" i="21" s="1"/>
  <c r="P291" i="21"/>
  <c r="L107" i="21" l="1"/>
  <c r="V107" i="21"/>
  <c r="B293" i="21"/>
  <c r="E293" i="21"/>
  <c r="P292" i="21"/>
  <c r="F293" i="21"/>
  <c r="C293" i="21"/>
  <c r="O292" i="21"/>
  <c r="C294" i="21" l="1"/>
  <c r="O293" i="21"/>
  <c r="E294" i="21"/>
  <c r="F294" i="21" s="1"/>
  <c r="P293" i="21"/>
  <c r="B294" i="21"/>
  <c r="T107" i="21"/>
  <c r="Q107" i="21" s="1"/>
  <c r="I108" i="21"/>
  <c r="M107" i="21"/>
  <c r="E295" i="21" l="1"/>
  <c r="F295" i="21" s="1"/>
  <c r="P294" i="21"/>
  <c r="B295" i="21"/>
  <c r="C295" i="21"/>
  <c r="O294" i="21"/>
  <c r="S108" i="21"/>
  <c r="U107" i="21"/>
  <c r="K108" i="21"/>
  <c r="C296" i="21" l="1"/>
  <c r="O295" i="21"/>
  <c r="E296" i="21"/>
  <c r="F296" i="21" s="1"/>
  <c r="P295" i="21"/>
  <c r="B296" i="21"/>
  <c r="V108" i="21"/>
  <c r="I109" i="21" l="1"/>
  <c r="M108" i="21"/>
  <c r="T108" i="21"/>
  <c r="Q108" i="21" s="1"/>
  <c r="B297" i="21"/>
  <c r="E297" i="21"/>
  <c r="P296" i="21"/>
  <c r="F297" i="21"/>
  <c r="C297" i="21"/>
  <c r="O296" i="21"/>
  <c r="L108" i="21"/>
  <c r="C298" i="21" l="1"/>
  <c r="O297" i="21"/>
  <c r="E298" i="21"/>
  <c r="F298" i="21" s="1"/>
  <c r="P297" i="21"/>
  <c r="B298" i="21"/>
  <c r="K109" i="21"/>
  <c r="U108" i="21"/>
  <c r="S109" i="21"/>
  <c r="T109" i="21" l="1"/>
  <c r="U109" i="21" s="1"/>
  <c r="V109" i="21"/>
  <c r="E299" i="21"/>
  <c r="F299" i="21" s="1"/>
  <c r="P298" i="21"/>
  <c r="B299" i="21"/>
  <c r="C299" i="21"/>
  <c r="O298" i="21"/>
  <c r="L109" i="21" l="1"/>
  <c r="S110" i="21"/>
  <c r="Q109" i="21"/>
  <c r="I110" i="21"/>
  <c r="C300" i="21"/>
  <c r="O299" i="21"/>
  <c r="B300" i="21"/>
  <c r="E300" i="21"/>
  <c r="F300" i="21" s="1"/>
  <c r="P299" i="21"/>
  <c r="M109" i="21"/>
  <c r="B301" i="21" l="1"/>
  <c r="E301" i="21"/>
  <c r="P300" i="21"/>
  <c r="F301" i="21"/>
  <c r="O300" i="21"/>
  <c r="C301" i="21"/>
  <c r="K110" i="21"/>
  <c r="M110" i="21" l="1"/>
  <c r="V110" i="21"/>
  <c r="C302" i="21"/>
  <c r="O301" i="21"/>
  <c r="E302" i="21"/>
  <c r="F302" i="21" s="1"/>
  <c r="P301" i="21"/>
  <c r="B302" i="21"/>
  <c r="E303" i="21" l="1"/>
  <c r="F303" i="21" s="1"/>
  <c r="P302" i="21"/>
  <c r="B303" i="21"/>
  <c r="C303" i="21"/>
  <c r="O302" i="21"/>
  <c r="T110" i="21"/>
  <c r="I111" i="21"/>
  <c r="L110" i="21"/>
  <c r="S111" i="21" l="1"/>
  <c r="U110" i="21"/>
  <c r="Q110" i="21"/>
  <c r="C304" i="21"/>
  <c r="O303" i="21"/>
  <c r="E304" i="21"/>
  <c r="F304" i="21" s="1"/>
  <c r="P303" i="21"/>
  <c r="B304" i="21"/>
  <c r="K111" i="21"/>
  <c r="B305" i="21" l="1"/>
  <c r="E305" i="21"/>
  <c r="F305" i="21" s="1"/>
  <c r="P304" i="21"/>
  <c r="C305" i="21"/>
  <c r="O304" i="21"/>
  <c r="L111" i="21"/>
  <c r="V111" i="21"/>
  <c r="C306" i="21" l="1"/>
  <c r="O305" i="21"/>
  <c r="E306" i="21"/>
  <c r="F306" i="21" s="1"/>
  <c r="P305" i="21"/>
  <c r="B306" i="21"/>
  <c r="T111" i="21"/>
  <c r="Q111" i="21"/>
  <c r="I112" i="21"/>
  <c r="M111" i="21"/>
  <c r="S112" i="21" l="1"/>
  <c r="U111" i="21"/>
  <c r="E307" i="21"/>
  <c r="P306" i="21"/>
  <c r="B307" i="21"/>
  <c r="C307" i="21"/>
  <c r="O306" i="21"/>
  <c r="F307" i="21"/>
  <c r="K112" i="21"/>
  <c r="C308" i="21" l="1"/>
  <c r="O307" i="21"/>
  <c r="B308" i="21"/>
  <c r="E308" i="21"/>
  <c r="F308" i="21" s="1"/>
  <c r="P307" i="21"/>
  <c r="M112" i="21"/>
  <c r="V112" i="21"/>
  <c r="I113" i="21" l="1"/>
  <c r="T112" i="21"/>
  <c r="L112" i="21"/>
  <c r="B309" i="21"/>
  <c r="E309" i="21"/>
  <c r="P308" i="21"/>
  <c r="F309" i="21"/>
  <c r="C309" i="21"/>
  <c r="O308" i="21"/>
  <c r="S113" i="21" l="1"/>
  <c r="U112" i="21"/>
  <c r="C310" i="21"/>
  <c r="O309" i="21"/>
  <c r="E310" i="21"/>
  <c r="F310" i="21" s="1"/>
  <c r="P309" i="21"/>
  <c r="B310" i="21"/>
  <c r="K113" i="21"/>
  <c r="Q112" i="21"/>
  <c r="E311" i="21" l="1"/>
  <c r="F311" i="21" s="1"/>
  <c r="P310" i="21"/>
  <c r="B311" i="21"/>
  <c r="C311" i="21"/>
  <c r="O310" i="21"/>
  <c r="L113" i="21"/>
  <c r="V113" i="21"/>
  <c r="M113" i="21" l="1"/>
  <c r="C312" i="21"/>
  <c r="O311" i="21"/>
  <c r="E312" i="21"/>
  <c r="F312" i="21" s="1"/>
  <c r="P311" i="21"/>
  <c r="B312" i="21"/>
  <c r="Q113" i="21"/>
  <c r="I114" i="21"/>
  <c r="T113" i="21"/>
  <c r="U113" i="21" l="1"/>
  <c r="S114" i="21"/>
  <c r="B313" i="21"/>
  <c r="C313" i="21"/>
  <c r="P312" i="21"/>
  <c r="E313" i="21"/>
  <c r="F313" i="21" s="1"/>
  <c r="O312" i="21"/>
  <c r="K114" i="21"/>
  <c r="V114" i="21" l="1"/>
  <c r="B314" i="21"/>
  <c r="P313" i="21"/>
  <c r="E314" i="21"/>
  <c r="F314" i="21" s="1"/>
  <c r="O313" i="21"/>
  <c r="C314" i="21"/>
  <c r="I115" i="21" l="1"/>
  <c r="L114" i="21"/>
  <c r="E315" i="21"/>
  <c r="P314" i="21"/>
  <c r="O314" i="21"/>
  <c r="C315" i="21"/>
  <c r="F315" i="21"/>
  <c r="B315" i="21"/>
  <c r="T114" i="21"/>
  <c r="Q114" i="21" s="1"/>
  <c r="M114" i="21"/>
  <c r="C316" i="21" l="1"/>
  <c r="O315" i="21"/>
  <c r="E316" i="21"/>
  <c r="F316" i="21"/>
  <c r="P315" i="21"/>
  <c r="B316" i="21"/>
  <c r="K115" i="21"/>
  <c r="S115" i="21"/>
  <c r="U114" i="21"/>
  <c r="V115" i="21" l="1"/>
  <c r="B317" i="21"/>
  <c r="C317" i="21"/>
  <c r="O316" i="21"/>
  <c r="P316" i="21"/>
  <c r="E317" i="21"/>
  <c r="F317" i="21" s="1"/>
  <c r="T115" i="21"/>
  <c r="S116" i="21" s="1"/>
  <c r="L115" i="21"/>
  <c r="Q115" i="21" l="1"/>
  <c r="I116" i="21"/>
  <c r="U115" i="21"/>
  <c r="M115" i="21"/>
  <c r="B318" i="21"/>
  <c r="P317" i="21"/>
  <c r="C318" i="21"/>
  <c r="O317" i="21"/>
  <c r="E318" i="21"/>
  <c r="F318" i="21" s="1"/>
  <c r="E319" i="21" l="1"/>
  <c r="P318" i="21"/>
  <c r="O318" i="21"/>
  <c r="C319" i="21"/>
  <c r="F319" i="21"/>
  <c r="B319" i="21"/>
  <c r="K116" i="21"/>
  <c r="C320" i="21" l="1"/>
  <c r="O319" i="21"/>
  <c r="E320" i="21"/>
  <c r="F320" i="21" s="1"/>
  <c r="P319" i="21"/>
  <c r="B320" i="21"/>
  <c r="V116" i="21"/>
  <c r="T116" i="21" l="1"/>
  <c r="I117" i="21"/>
  <c r="M116" i="21"/>
  <c r="L116" i="21"/>
  <c r="B321" i="21"/>
  <c r="E321" i="21"/>
  <c r="F321" i="21" s="1"/>
  <c r="C321" i="21"/>
  <c r="O320" i="21"/>
  <c r="P320" i="21"/>
  <c r="E322" i="21" l="1"/>
  <c r="F322" i="21" s="1"/>
  <c r="P321" i="21"/>
  <c r="C322" i="21"/>
  <c r="O321" i="21"/>
  <c r="B322" i="21"/>
  <c r="K117" i="21"/>
  <c r="S117" i="21"/>
  <c r="U116" i="21"/>
  <c r="Q116" i="21"/>
  <c r="E323" i="21" l="1"/>
  <c r="F323" i="21"/>
  <c r="P322" i="21"/>
  <c r="C323" i="21"/>
  <c r="O322" i="21"/>
  <c r="B323" i="21"/>
  <c r="M117" i="21"/>
  <c r="V117" i="21"/>
  <c r="T117" i="21" l="1"/>
  <c r="U117" i="21" s="1"/>
  <c r="L117" i="21"/>
  <c r="Q117" i="21"/>
  <c r="I118" i="21"/>
  <c r="S118" i="21"/>
  <c r="C324" i="21"/>
  <c r="O323" i="21"/>
  <c r="E324" i="21"/>
  <c r="F324" i="21" s="1"/>
  <c r="B324" i="21"/>
  <c r="P323" i="21"/>
  <c r="K118" i="21" l="1"/>
  <c r="B325" i="21"/>
  <c r="C325" i="21"/>
  <c r="P324" i="21"/>
  <c r="E325" i="21"/>
  <c r="F325" i="21" s="1"/>
  <c r="O324" i="21"/>
  <c r="V118" i="21" l="1"/>
  <c r="B326" i="21"/>
  <c r="P325" i="21"/>
  <c r="O325" i="21"/>
  <c r="E326" i="21"/>
  <c r="F326" i="21" s="1"/>
  <c r="C326" i="21"/>
  <c r="T118" i="21" l="1"/>
  <c r="L118" i="21"/>
  <c r="M118" i="21"/>
  <c r="I119" i="21"/>
  <c r="E327" i="21"/>
  <c r="F327" i="21" s="1"/>
  <c r="P326" i="21"/>
  <c r="O326" i="21"/>
  <c r="B327" i="21"/>
  <c r="C327" i="21"/>
  <c r="S119" i="21" l="1"/>
  <c r="U118" i="21"/>
  <c r="C328" i="21"/>
  <c r="O327" i="21"/>
  <c r="E328" i="21"/>
  <c r="F328" i="21" s="1"/>
  <c r="B328" i="21"/>
  <c r="P327" i="21"/>
  <c r="K119" i="21"/>
  <c r="Q118" i="21"/>
  <c r="B329" i="21" l="1"/>
  <c r="E329" i="21"/>
  <c r="F329" i="21" s="1"/>
  <c r="C329" i="21"/>
  <c r="P328" i="21"/>
  <c r="O328" i="21"/>
  <c r="V119" i="21"/>
  <c r="C330" i="21" l="1"/>
  <c r="B330" i="21"/>
  <c r="P329" i="21"/>
  <c r="E330" i="21"/>
  <c r="F330" i="21" s="1"/>
  <c r="O329" i="21"/>
  <c r="I120" i="21"/>
  <c r="T119" i="21"/>
  <c r="Q119" i="21" s="1"/>
  <c r="M119" i="21"/>
  <c r="L119" i="21"/>
  <c r="K120" i="21" l="1"/>
  <c r="E331" i="21"/>
  <c r="P330" i="21"/>
  <c r="B331" i="21"/>
  <c r="O330" i="21"/>
  <c r="F331" i="21"/>
  <c r="C331" i="21"/>
  <c r="S120" i="21"/>
  <c r="U119" i="21"/>
  <c r="C332" i="21" l="1"/>
  <c r="O331" i="21"/>
  <c r="P331" i="21"/>
  <c r="F332" i="21"/>
  <c r="B332" i="21"/>
  <c r="E332" i="21"/>
  <c r="L120" i="21"/>
  <c r="V120" i="21"/>
  <c r="M120" i="21" l="1"/>
  <c r="I121" i="21"/>
  <c r="B333" i="21"/>
  <c r="O332" i="21"/>
  <c r="E333" i="21"/>
  <c r="F333" i="21" s="1"/>
  <c r="C333" i="21"/>
  <c r="P332" i="21"/>
  <c r="T120" i="21"/>
  <c r="Q120" i="21" s="1"/>
  <c r="K121" i="21" l="1"/>
  <c r="U120" i="21"/>
  <c r="S121" i="21"/>
  <c r="F334" i="21"/>
  <c r="E334" i="21"/>
  <c r="C334" i="21"/>
  <c r="P333" i="21"/>
  <c r="O333" i="21"/>
  <c r="B334" i="21"/>
  <c r="E335" i="21" l="1"/>
  <c r="P334" i="21"/>
  <c r="C335" i="21"/>
  <c r="B335" i="21"/>
  <c r="F335" i="21"/>
  <c r="O334" i="21"/>
  <c r="M121" i="21"/>
  <c r="V121" i="21"/>
  <c r="L121" i="21" l="1"/>
  <c r="T121" i="21"/>
  <c r="U121" i="21" s="1"/>
  <c r="I122" i="21"/>
  <c r="C336" i="21"/>
  <c r="O335" i="21"/>
  <c r="B336" i="21"/>
  <c r="P335" i="21"/>
  <c r="E336" i="21"/>
  <c r="F336" i="21" s="1"/>
  <c r="Q121" i="21" l="1"/>
  <c r="S122" i="21"/>
  <c r="K122" i="21"/>
  <c r="B337" i="21"/>
  <c r="P336" i="21"/>
  <c r="O336" i="21"/>
  <c r="C337" i="21"/>
  <c r="E337" i="21"/>
  <c r="F337" i="21" s="1"/>
  <c r="M122" i="21" l="1"/>
  <c r="V122" i="21"/>
  <c r="O337" i="21"/>
  <c r="E338" i="21"/>
  <c r="F338" i="21" s="1"/>
  <c r="C338" i="21"/>
  <c r="B338" i="21"/>
  <c r="P337" i="21"/>
  <c r="L122" i="21" l="1"/>
  <c r="I123" i="21"/>
  <c r="T122" i="21"/>
  <c r="E339" i="21"/>
  <c r="F339" i="21" s="1"/>
  <c r="P338" i="21"/>
  <c r="C339" i="21"/>
  <c r="O338" i="21"/>
  <c r="B339" i="21"/>
  <c r="S123" i="21" l="1"/>
  <c r="U122" i="21"/>
  <c r="K123" i="21"/>
  <c r="Q122" i="21"/>
  <c r="C340" i="21"/>
  <c r="O339" i="21"/>
  <c r="E340" i="21"/>
  <c r="F340" i="21" s="1"/>
  <c r="B340" i="21"/>
  <c r="P339" i="21"/>
  <c r="L123" i="21" l="1"/>
  <c r="V123" i="21"/>
  <c r="B341" i="21"/>
  <c r="C341" i="21"/>
  <c r="P340" i="21"/>
  <c r="O340" i="21"/>
  <c r="E341" i="21"/>
  <c r="F341" i="21" s="1"/>
  <c r="T123" i="21" l="1"/>
  <c r="S124" i="21" s="1"/>
  <c r="M123" i="21"/>
  <c r="U123" i="21"/>
  <c r="I124" i="21"/>
  <c r="B342" i="21"/>
  <c r="P341" i="21"/>
  <c r="O341" i="21"/>
  <c r="C342" i="21"/>
  <c r="E342" i="21"/>
  <c r="F342" i="21" s="1"/>
  <c r="Q123" i="21" l="1"/>
  <c r="E343" i="21"/>
  <c r="F343" i="21" s="1"/>
  <c r="P342" i="21"/>
  <c r="O342" i="21"/>
  <c r="C343" i="21"/>
  <c r="B343" i="21"/>
  <c r="K124" i="21"/>
  <c r="L124" i="21" l="1"/>
  <c r="V124" i="21"/>
  <c r="C344" i="21"/>
  <c r="O343" i="21"/>
  <c r="E344" i="21"/>
  <c r="F344" i="21" s="1"/>
  <c r="P343" i="21"/>
  <c r="B344" i="21"/>
  <c r="T124" i="21" l="1"/>
  <c r="I125" i="21"/>
  <c r="B345" i="21"/>
  <c r="E345" i="21"/>
  <c r="F345" i="21" s="1"/>
  <c r="C345" i="21"/>
  <c r="O344" i="21"/>
  <c r="P344" i="21"/>
  <c r="M124" i="21"/>
  <c r="K125" i="21" l="1"/>
  <c r="U124" i="21"/>
  <c r="S125" i="21"/>
  <c r="C346" i="21"/>
  <c r="B346" i="21"/>
  <c r="P345" i="21"/>
  <c r="O345" i="21"/>
  <c r="E346" i="21"/>
  <c r="F346" i="21" s="1"/>
  <c r="Q124" i="21"/>
  <c r="L125" i="21" l="1"/>
  <c r="V125" i="21"/>
  <c r="E347" i="21"/>
  <c r="P346" i="21"/>
  <c r="B347" i="21"/>
  <c r="O346" i="21"/>
  <c r="C347" i="21"/>
  <c r="F347" i="21"/>
  <c r="M125" i="21"/>
  <c r="T125" i="21" l="1"/>
  <c r="U125" i="21" s="1"/>
  <c r="C348" i="21"/>
  <c r="O347" i="21"/>
  <c r="P347" i="21"/>
  <c r="E348" i="21"/>
  <c r="F348" i="21" s="1"/>
  <c r="B348" i="21"/>
  <c r="I126" i="21"/>
  <c r="S126" i="21"/>
  <c r="Q125" i="21" l="1"/>
  <c r="K126" i="21"/>
  <c r="B349" i="21"/>
  <c r="O348" i="21"/>
  <c r="E349" i="21"/>
  <c r="F349" i="21" s="1"/>
  <c r="P348" i="21"/>
  <c r="C349" i="21"/>
  <c r="V126" i="21" l="1"/>
  <c r="E350" i="21"/>
  <c r="F350" i="21" s="1"/>
  <c r="C350" i="21"/>
  <c r="B350" i="21"/>
  <c r="O349" i="21"/>
  <c r="P349" i="21"/>
  <c r="E351" i="21" l="1"/>
  <c r="F351" i="21" s="1"/>
  <c r="P350" i="21"/>
  <c r="B351" i="21"/>
  <c r="O350" i="21"/>
  <c r="C351" i="21"/>
  <c r="T126" i="21"/>
  <c r="Q126" i="21" s="1"/>
  <c r="L126" i="21"/>
  <c r="M126" i="21"/>
  <c r="I127" i="21"/>
  <c r="K127" i="21" l="1"/>
  <c r="S127" i="21"/>
  <c r="U126" i="21"/>
  <c r="C352" i="21"/>
  <c r="O351" i="21"/>
  <c r="P351" i="21"/>
  <c r="E352" i="21"/>
  <c r="F352" i="21" s="1"/>
  <c r="B352" i="21"/>
  <c r="B353" i="21" l="1"/>
  <c r="O352" i="21"/>
  <c r="E353" i="21"/>
  <c r="F353" i="21" s="1"/>
  <c r="C353" i="21"/>
  <c r="P352" i="21"/>
  <c r="L127" i="21"/>
  <c r="V127" i="21"/>
  <c r="T127" i="21" l="1"/>
  <c r="E354" i="21"/>
  <c r="F354" i="21" s="1"/>
  <c r="C354" i="21"/>
  <c r="P353" i="21"/>
  <c r="B354" i="21"/>
  <c r="O353" i="21"/>
  <c r="Q127" i="21"/>
  <c r="I128" i="21"/>
  <c r="M127" i="21"/>
  <c r="E355" i="21" l="1"/>
  <c r="P354" i="21"/>
  <c r="C355" i="21"/>
  <c r="B355" i="21"/>
  <c r="O354" i="21"/>
  <c r="F355" i="21"/>
  <c r="S128" i="21"/>
  <c r="U127" i="21"/>
  <c r="K128" i="21"/>
  <c r="M128" i="21" l="1"/>
  <c r="V128" i="21"/>
  <c r="C356" i="21"/>
  <c r="O355" i="21"/>
  <c r="B356" i="21"/>
  <c r="P355" i="21"/>
  <c r="E356" i="21"/>
  <c r="F356" i="21" s="1"/>
  <c r="T128" i="21" l="1"/>
  <c r="S129" i="21" s="1"/>
  <c r="L128" i="21"/>
  <c r="U128" i="21"/>
  <c r="C357" i="21"/>
  <c r="B357" i="21"/>
  <c r="P356" i="21"/>
  <c r="E357" i="21"/>
  <c r="F357" i="21" s="1"/>
  <c r="O356" i="21"/>
  <c r="Q128" i="21"/>
  <c r="I129" i="21"/>
  <c r="K129" i="21" l="1"/>
  <c r="E358" i="21"/>
  <c r="F358" i="21" s="1"/>
  <c r="P357" i="21"/>
  <c r="B358" i="21"/>
  <c r="O357" i="21"/>
  <c r="C358" i="21"/>
  <c r="C359" i="21" l="1"/>
  <c r="O358" i="21"/>
  <c r="P358" i="21"/>
  <c r="E359" i="21"/>
  <c r="F359" i="21" s="1"/>
  <c r="B359" i="21"/>
  <c r="V129" i="21"/>
  <c r="T129" i="21" l="1"/>
  <c r="I130" i="21"/>
  <c r="M129" i="21"/>
  <c r="L129" i="21"/>
  <c r="B360" i="21"/>
  <c r="O359" i="21"/>
  <c r="C360" i="21"/>
  <c r="P359" i="21"/>
  <c r="E360" i="21"/>
  <c r="F360" i="21" s="1"/>
  <c r="K130" i="21" l="1"/>
  <c r="U129" i="21"/>
  <c r="S130" i="21"/>
  <c r="Q129" i="21"/>
  <c r="E361" i="21"/>
  <c r="F361" i="21" s="1"/>
  <c r="C361" i="21"/>
  <c r="O360" i="21"/>
  <c r="B361" i="21"/>
  <c r="P360" i="21"/>
  <c r="E362" i="21" l="1"/>
  <c r="F362" i="21" s="1"/>
  <c r="P361" i="21"/>
  <c r="C362" i="21"/>
  <c r="B362" i="21"/>
  <c r="O361" i="21"/>
  <c r="L130" i="21"/>
  <c r="V130" i="21"/>
  <c r="I131" i="21" l="1"/>
  <c r="C363" i="21"/>
  <c r="O362" i="21"/>
  <c r="B363" i="21"/>
  <c r="P362" i="21"/>
  <c r="E363" i="21"/>
  <c r="F363" i="21" s="1"/>
  <c r="M130" i="21"/>
  <c r="T130" i="21"/>
  <c r="K131" i="21" l="1"/>
  <c r="S131" i="21"/>
  <c r="U130" i="21"/>
  <c r="Q130" i="21"/>
  <c r="B364" i="21"/>
  <c r="P363" i="21"/>
  <c r="E364" i="21"/>
  <c r="F364" i="21"/>
  <c r="C364" i="21"/>
  <c r="O363" i="21"/>
  <c r="L131" i="21" l="1"/>
  <c r="V131" i="21"/>
  <c r="O364" i="21"/>
  <c r="B365" i="21"/>
  <c r="C365" i="21"/>
  <c r="E365" i="21"/>
  <c r="F365" i="21" s="1"/>
  <c r="P364" i="21"/>
  <c r="T131" i="21"/>
  <c r="S132" i="21" s="1"/>
  <c r="U131" i="21" l="1"/>
  <c r="E366" i="21"/>
  <c r="P365" i="21"/>
  <c r="F366" i="21"/>
  <c r="C366" i="21"/>
  <c r="O365" i="21"/>
  <c r="B366" i="21"/>
  <c r="Q131" i="21"/>
  <c r="I132" i="21"/>
  <c r="M131" i="21"/>
  <c r="C367" i="21" l="1"/>
  <c r="O366" i="21"/>
  <c r="E367" i="21"/>
  <c r="F367" i="21" s="1"/>
  <c r="B367" i="21"/>
  <c r="P366" i="21"/>
  <c r="K132" i="21"/>
  <c r="M132" i="21" l="1"/>
  <c r="V132" i="21"/>
  <c r="B368" i="21"/>
  <c r="C368" i="21"/>
  <c r="P367" i="21"/>
  <c r="O367" i="21"/>
  <c r="E368" i="21"/>
  <c r="F368" i="21" s="1"/>
  <c r="B369" i="21" l="1"/>
  <c r="P368" i="21"/>
  <c r="E369" i="21"/>
  <c r="F369" i="21" s="1"/>
  <c r="O368" i="21"/>
  <c r="C369" i="21"/>
  <c r="T132" i="21"/>
  <c r="I133" i="21"/>
  <c r="L132" i="21"/>
  <c r="S133" i="21" l="1"/>
  <c r="U132" i="21"/>
  <c r="Q132" i="21"/>
  <c r="P369" i="21"/>
  <c r="O369" i="21"/>
  <c r="K133" i="21"/>
  <c r="T133" i="21" l="1"/>
  <c r="S134" i="21" s="1"/>
  <c r="V133" i="21"/>
  <c r="L133" i="21" l="1"/>
  <c r="M133" i="21"/>
  <c r="U133" i="21"/>
  <c r="Q133" i="21"/>
  <c r="I134" i="21"/>
  <c r="K134" i="21" l="1"/>
  <c r="M134" i="21" l="1"/>
  <c r="V134" i="21"/>
  <c r="L134" i="21" l="1"/>
  <c r="T134" i="21"/>
  <c r="I135" i="21"/>
  <c r="S135" i="21" l="1"/>
  <c r="U134" i="21"/>
  <c r="Q134" i="21"/>
  <c r="K135" i="21"/>
  <c r="T135" i="21" l="1"/>
  <c r="V135" i="21"/>
  <c r="L135" i="21" l="1"/>
  <c r="M135" i="21"/>
  <c r="U135" i="21"/>
  <c r="S136" i="21"/>
  <c r="Q135" i="21"/>
  <c r="I136" i="21"/>
  <c r="K136" i="21" l="1"/>
  <c r="V136" i="21" l="1"/>
  <c r="T136" i="21" l="1"/>
  <c r="I137" i="21"/>
  <c r="M136" i="21"/>
  <c r="L136" i="21"/>
  <c r="S137" i="21" l="1"/>
  <c r="U136" i="21"/>
  <c r="K137" i="21"/>
  <c r="Q136" i="21"/>
  <c r="T137" i="21" l="1"/>
  <c r="S138" i="21" s="1"/>
  <c r="V137" i="21"/>
  <c r="L137" i="21" l="1"/>
  <c r="M137" i="21"/>
  <c r="U137" i="21"/>
  <c r="Q137" i="21"/>
  <c r="I138" i="21"/>
  <c r="K138" i="21" l="1"/>
  <c r="L138" i="21" l="1"/>
  <c r="V138" i="21"/>
  <c r="M138" i="21" l="1"/>
  <c r="T138" i="21"/>
  <c r="I139" i="21"/>
  <c r="S139" i="21" l="1"/>
  <c r="U138" i="21"/>
  <c r="K139" i="21"/>
  <c r="Q138" i="21"/>
  <c r="T139" i="21" l="1"/>
  <c r="V139" i="21"/>
  <c r="L139" i="21" l="1"/>
  <c r="U139" i="21"/>
  <c r="S140" i="21"/>
  <c r="M139" i="21"/>
  <c r="Q139" i="21"/>
  <c r="I140" i="21"/>
  <c r="K140" i="21" l="1"/>
  <c r="L140" i="21" l="1"/>
  <c r="V140" i="21"/>
  <c r="T140" i="21" l="1"/>
  <c r="I141" i="21"/>
  <c r="M140" i="21"/>
  <c r="K141" i="21" l="1"/>
  <c r="S141" i="21"/>
  <c r="U140" i="21"/>
  <c r="Q140" i="21"/>
  <c r="T141" i="21" l="1"/>
  <c r="V141" i="21"/>
  <c r="L141" i="21" l="1"/>
  <c r="U141" i="21"/>
  <c r="S142" i="21"/>
  <c r="M141" i="21"/>
  <c r="Q141" i="21"/>
  <c r="I142" i="21"/>
  <c r="K142" i="21" l="1"/>
  <c r="M142" i="21" l="1"/>
  <c r="V142" i="21"/>
  <c r="T142" i="21" l="1"/>
  <c r="I143" i="21"/>
  <c r="L142" i="21"/>
  <c r="S143" i="21" l="1"/>
  <c r="U142" i="21"/>
  <c r="K143" i="21"/>
  <c r="Q142" i="21"/>
  <c r="T143" i="21" l="1"/>
  <c r="V143" i="21"/>
  <c r="M143" i="21" l="1"/>
  <c r="L143" i="21"/>
  <c r="U143" i="21"/>
  <c r="S144" i="21"/>
  <c r="Q143" i="21"/>
  <c r="I144" i="21"/>
  <c r="K144" i="21" l="1"/>
  <c r="V144" i="21" l="1"/>
  <c r="T144" i="21" l="1"/>
  <c r="M144" i="21"/>
  <c r="L144" i="21"/>
  <c r="I145" i="21"/>
  <c r="U144" i="21" l="1"/>
  <c r="S145" i="21"/>
  <c r="K145" i="21"/>
  <c r="Q144" i="21"/>
  <c r="L145" i="21" l="1"/>
  <c r="V145" i="21"/>
  <c r="M145" i="21" l="1"/>
  <c r="T145" i="21"/>
  <c r="U145" i="21" s="1"/>
  <c r="I146" i="21"/>
  <c r="S146" i="21" l="1"/>
  <c r="Q145" i="21"/>
  <c r="K146" i="21"/>
  <c r="V146" i="21" l="1"/>
  <c r="L146" i="21" l="1"/>
  <c r="T146" i="21"/>
  <c r="I147" i="21"/>
  <c r="M146" i="21"/>
  <c r="K147" i="21" l="1"/>
  <c r="U146" i="21"/>
  <c r="S147" i="21"/>
  <c r="Q146" i="21"/>
  <c r="T147" i="21" l="1"/>
  <c r="S148" i="21" s="1"/>
  <c r="V147" i="21"/>
  <c r="U147" i="21" l="1"/>
  <c r="Q147" i="21"/>
  <c r="I148" i="21"/>
  <c r="L147" i="21"/>
  <c r="M147" i="21"/>
  <c r="K148" i="21" l="1"/>
  <c r="L148" i="21" l="1"/>
  <c r="V148" i="21"/>
  <c r="M148" i="21" l="1"/>
  <c r="T148" i="21"/>
  <c r="I149" i="21"/>
  <c r="K149" i="21" l="1"/>
  <c r="S149" i="21"/>
  <c r="U148" i="21"/>
  <c r="Q148" i="21"/>
  <c r="V149" i="21" l="1"/>
  <c r="I150" i="21" l="1"/>
  <c r="L149" i="21"/>
  <c r="M149" i="21"/>
  <c r="T149" i="21"/>
  <c r="K150" i="21" l="1"/>
  <c r="U149" i="21"/>
  <c r="S150" i="21"/>
  <c r="Q149" i="21"/>
  <c r="V150" i="21" l="1"/>
  <c r="I151" i="21" l="1"/>
  <c r="L150" i="21"/>
  <c r="M150" i="21"/>
  <c r="T150" i="21"/>
  <c r="K151" i="21" l="1"/>
  <c r="S151" i="21"/>
  <c r="U150" i="21"/>
  <c r="Q150" i="21"/>
  <c r="T151" i="21" l="1"/>
  <c r="V151" i="21"/>
  <c r="S152" i="21" l="1"/>
  <c r="U151" i="21"/>
  <c r="Q151" i="21"/>
  <c r="I152" i="21"/>
  <c r="L151" i="21"/>
  <c r="M151" i="21"/>
  <c r="K152" i="21" l="1"/>
  <c r="V152" i="21" l="1"/>
  <c r="T152" i="21" l="1"/>
  <c r="M152" i="21"/>
  <c r="L152" i="21"/>
  <c r="I153" i="21"/>
  <c r="U152" i="21" l="1"/>
  <c r="S153" i="21"/>
  <c r="K153" i="21"/>
  <c r="Q152" i="21"/>
  <c r="L153" i="21" l="1"/>
  <c r="V153" i="21"/>
  <c r="M153" i="21" l="1"/>
  <c r="T153" i="21"/>
  <c r="S154" i="21" s="1"/>
  <c r="I154" i="21"/>
  <c r="Q153" i="21" l="1"/>
  <c r="U153" i="21"/>
  <c r="K154" i="21"/>
  <c r="M154" i="21" l="1"/>
  <c r="V154" i="21"/>
  <c r="L154" i="21" l="1"/>
  <c r="T154" i="21"/>
  <c r="Q154" i="21" s="1"/>
  <c r="I155" i="21"/>
  <c r="K155" i="21" l="1"/>
  <c r="S155" i="21"/>
  <c r="U154" i="21"/>
  <c r="V155" i="21" l="1"/>
  <c r="I156" i="21" l="1"/>
  <c r="L155" i="21"/>
  <c r="T155" i="21"/>
  <c r="M155" i="21"/>
  <c r="K156" i="21" l="1"/>
  <c r="S156" i="21"/>
  <c r="U155" i="21"/>
  <c r="Q155" i="21"/>
  <c r="M156" i="21" l="1"/>
  <c r="V156" i="21"/>
  <c r="I157" i="21" l="1"/>
  <c r="T156" i="21"/>
  <c r="L156" i="21"/>
  <c r="K157" i="21" l="1"/>
  <c r="S157" i="21"/>
  <c r="U156" i="21"/>
  <c r="Q156" i="21"/>
  <c r="V157" i="21" l="1"/>
  <c r="I158" i="21" l="1"/>
  <c r="L157" i="21"/>
  <c r="M157" i="21"/>
  <c r="T157" i="21"/>
  <c r="K158" i="21" l="1"/>
  <c r="U157" i="21"/>
  <c r="S158" i="21"/>
  <c r="Q157" i="21"/>
  <c r="M158" i="21" l="1"/>
  <c r="V158" i="21"/>
  <c r="L158" i="21" l="1"/>
  <c r="I159" i="21"/>
  <c r="T158" i="21"/>
  <c r="S159" i="21" l="1"/>
  <c r="U158" i="21"/>
  <c r="Q158" i="21"/>
  <c r="K159" i="21"/>
  <c r="T159" i="21" l="1"/>
  <c r="V159" i="21"/>
  <c r="L159" i="21" l="1"/>
  <c r="U159" i="21"/>
  <c r="S160" i="21"/>
  <c r="M159" i="21"/>
  <c r="Q159" i="21"/>
  <c r="I160" i="21"/>
  <c r="K160" i="21" l="1"/>
  <c r="L160" i="21" l="1"/>
  <c r="V160" i="21"/>
  <c r="T160" i="21" l="1"/>
  <c r="I161" i="21"/>
  <c r="M160" i="21"/>
  <c r="K161" i="21" l="1"/>
  <c r="S161" i="21"/>
  <c r="U160" i="21"/>
  <c r="Q160" i="21"/>
  <c r="V161" i="21" l="1"/>
  <c r="I162" i="21" l="1"/>
  <c r="T161" i="21"/>
  <c r="L161" i="21"/>
  <c r="M161" i="21"/>
  <c r="U161" i="21" l="1"/>
  <c r="S162" i="21"/>
  <c r="K162" i="21"/>
  <c r="Q161" i="21"/>
  <c r="T162" i="21" l="1"/>
  <c r="V162" i="21"/>
  <c r="U162" i="21" l="1"/>
  <c r="S163" i="21"/>
  <c r="L162" i="21"/>
  <c r="M162" i="21"/>
  <c r="Q162" i="21"/>
  <c r="I163" i="21"/>
  <c r="K163" i="21" l="1"/>
  <c r="V163" i="21" l="1"/>
  <c r="I164" i="21" l="1"/>
  <c r="T163" i="21"/>
  <c r="M163" i="21"/>
  <c r="L163" i="21"/>
  <c r="U163" i="21" l="1"/>
  <c r="S164" i="21"/>
  <c r="K164" i="21"/>
  <c r="Q163" i="21"/>
  <c r="L164" i="21" l="1"/>
  <c r="V164" i="21"/>
  <c r="M164" i="21" l="1"/>
  <c r="T164" i="21"/>
  <c r="S165" i="21" s="1"/>
  <c r="I165" i="21"/>
  <c r="U164" i="21" l="1"/>
  <c r="Q164" i="21"/>
  <c r="K165" i="21"/>
  <c r="M165" i="21" l="1"/>
  <c r="V165" i="21"/>
  <c r="L165" i="21" l="1"/>
  <c r="T165" i="21"/>
  <c r="I166" i="21"/>
  <c r="K166" i="21" l="1"/>
  <c r="U165" i="21"/>
  <c r="S166" i="21"/>
  <c r="Q165" i="21"/>
  <c r="L166" i="21" l="1"/>
  <c r="V166" i="21"/>
  <c r="I167" i="21" l="1"/>
  <c r="M166" i="21"/>
  <c r="T166" i="21"/>
  <c r="S167" i="21" l="1"/>
  <c r="U166" i="21"/>
  <c r="K167" i="21"/>
  <c r="Q166" i="21"/>
  <c r="T167" i="21" l="1"/>
  <c r="V167" i="21"/>
  <c r="S168" i="21" l="1"/>
  <c r="U167" i="21"/>
  <c r="L167" i="21"/>
  <c r="M167" i="21"/>
  <c r="Q167" i="21"/>
  <c r="I168" i="21"/>
  <c r="K168" i="21" l="1"/>
  <c r="V168" i="21" l="1"/>
  <c r="I169" i="21" l="1"/>
  <c r="T168" i="21"/>
  <c r="L168" i="21"/>
  <c r="M168" i="21"/>
  <c r="U168" i="21" l="1"/>
  <c r="S169" i="21"/>
  <c r="K169" i="21"/>
  <c r="Q168" i="21"/>
  <c r="L169" i="21" l="1"/>
  <c r="V169" i="21"/>
  <c r="T169" i="21" l="1"/>
  <c r="Q169" i="21" s="1"/>
  <c r="M169" i="21"/>
  <c r="I170" i="21"/>
  <c r="K170" i="21" l="1"/>
  <c r="S170" i="21"/>
  <c r="U169" i="21"/>
  <c r="T170" i="21" l="1"/>
  <c r="V170" i="21"/>
  <c r="S171" i="21" l="1"/>
  <c r="U170" i="21"/>
  <c r="M170" i="21"/>
  <c r="Q170" i="21"/>
  <c r="I171" i="21"/>
  <c r="L170" i="21"/>
  <c r="K171" i="21" l="1"/>
  <c r="V171" i="21" l="1"/>
  <c r="M171" i="21" l="1"/>
  <c r="T171" i="21"/>
  <c r="I172" i="21"/>
  <c r="L171" i="21"/>
  <c r="U171" i="21" l="1"/>
  <c r="S172" i="21"/>
  <c r="K172" i="21"/>
  <c r="Q171" i="21"/>
  <c r="L172" i="21" l="1"/>
  <c r="V172" i="21"/>
  <c r="M172" i="21" l="1"/>
  <c r="T172" i="21"/>
  <c r="I173" i="21"/>
  <c r="U172" i="21" l="1"/>
  <c r="S173" i="21"/>
  <c r="K173" i="21"/>
  <c r="Q172" i="21"/>
  <c r="T173" i="21" l="1"/>
  <c r="V173" i="21"/>
  <c r="L173" i="21" l="1"/>
  <c r="U173" i="21"/>
  <c r="S174" i="21"/>
  <c r="M173" i="21"/>
  <c r="Q173" i="21"/>
  <c r="I174" i="21"/>
  <c r="K174" i="21" l="1"/>
  <c r="L174" i="21" l="1"/>
  <c r="V174" i="21"/>
  <c r="I175" i="21" l="1"/>
  <c r="T174" i="21"/>
  <c r="M174" i="21"/>
  <c r="K175" i="21" l="1"/>
  <c r="S175" i="21"/>
  <c r="U174" i="21"/>
  <c r="Q174" i="21"/>
  <c r="M175" i="21" l="1"/>
  <c r="V175" i="21"/>
  <c r="L175" i="21" l="1"/>
  <c r="I176" i="21"/>
  <c r="T175" i="21"/>
  <c r="Q175" i="21" s="1"/>
  <c r="K176" i="21" l="1"/>
  <c r="U175" i="21"/>
  <c r="S176" i="21"/>
  <c r="L176" i="21" l="1"/>
  <c r="V176" i="21"/>
  <c r="I177" i="21" l="1"/>
  <c r="M176" i="21"/>
  <c r="T176" i="21"/>
  <c r="K177" i="21" l="1"/>
  <c r="S177" i="21"/>
  <c r="U176" i="21"/>
  <c r="Q176" i="21"/>
  <c r="T177" i="21" l="1"/>
  <c r="V177" i="21"/>
  <c r="S178" i="21" l="1"/>
  <c r="U177" i="21"/>
  <c r="Q177" i="21"/>
  <c r="I178" i="21"/>
  <c r="L177" i="21"/>
  <c r="M177" i="21"/>
  <c r="K178" i="21" l="1"/>
  <c r="V178" i="21" l="1"/>
  <c r="T178" i="21" l="1"/>
  <c r="I179" i="21"/>
  <c r="M178" i="21"/>
  <c r="L178" i="21"/>
  <c r="S179" i="21" l="1"/>
  <c r="U178" i="21"/>
  <c r="K179" i="21"/>
  <c r="Q178" i="21"/>
  <c r="L179" i="21" l="1"/>
  <c r="V179" i="21"/>
  <c r="T179" i="21" l="1"/>
  <c r="Q179" i="21" s="1"/>
  <c r="M179" i="21"/>
  <c r="I180" i="21"/>
  <c r="K180" i="21" l="1"/>
  <c r="U179" i="21"/>
  <c r="S180" i="21"/>
  <c r="M180" i="21" l="1"/>
  <c r="V180" i="21"/>
  <c r="L180" i="21" l="1"/>
  <c r="I181" i="21"/>
  <c r="T180" i="21"/>
  <c r="Q180" i="21" s="1"/>
  <c r="K181" i="21" l="1"/>
  <c r="U180" i="21"/>
  <c r="S181" i="21"/>
  <c r="L181" i="21" l="1"/>
  <c r="V181" i="21"/>
  <c r="T181" i="21" l="1"/>
  <c r="Q181" i="21" s="1"/>
  <c r="I182" i="21"/>
  <c r="M181" i="21"/>
  <c r="K182" i="21" l="1"/>
  <c r="U181" i="21"/>
  <c r="S182" i="21"/>
  <c r="T182" i="21" l="1"/>
  <c r="V182" i="21"/>
  <c r="S183" i="21" l="1"/>
  <c r="U182" i="21"/>
  <c r="Q182" i="21"/>
  <c r="I183" i="21"/>
  <c r="L182" i="21"/>
  <c r="M182" i="21"/>
  <c r="K183" i="21" l="1"/>
  <c r="V183" i="21" l="1"/>
  <c r="T183" i="21" l="1"/>
  <c r="I184" i="21"/>
  <c r="M183" i="21"/>
  <c r="L183" i="21"/>
  <c r="S184" i="21" l="1"/>
  <c r="U183" i="21"/>
  <c r="K184" i="21"/>
  <c r="Q183" i="21"/>
  <c r="L184" i="21" l="1"/>
  <c r="V184" i="21"/>
  <c r="T184" i="21" l="1"/>
  <c r="Q184" i="21" s="1"/>
  <c r="M184" i="21"/>
  <c r="I185" i="21"/>
  <c r="K185" i="21" l="1"/>
  <c r="U184" i="21"/>
  <c r="S185" i="21"/>
  <c r="M185" i="21" l="1"/>
  <c r="V185" i="21"/>
  <c r="L185" i="21" l="1"/>
  <c r="I186" i="21"/>
  <c r="T185" i="21"/>
  <c r="S186" i="21" l="1"/>
  <c r="U185" i="21"/>
  <c r="Q185" i="21"/>
  <c r="K186" i="21"/>
  <c r="M186" i="21" l="1"/>
  <c r="V186" i="21"/>
  <c r="T186" i="21" l="1"/>
  <c r="S187" i="21" s="1"/>
  <c r="L186" i="21"/>
  <c r="I187" i="21"/>
  <c r="Q186" i="21" l="1"/>
  <c r="U186" i="21"/>
  <c r="K187" i="21"/>
  <c r="L187" i="21" l="1"/>
  <c r="V187" i="21"/>
  <c r="M187" i="21" l="1"/>
  <c r="T187" i="21"/>
  <c r="I188" i="21"/>
  <c r="K188" i="21" l="1"/>
  <c r="S188" i="21"/>
  <c r="U187" i="21"/>
  <c r="Q187" i="21"/>
  <c r="M188" i="21" l="1"/>
  <c r="V188" i="21"/>
  <c r="L188" i="21" l="1"/>
  <c r="I189" i="21"/>
  <c r="T188" i="21"/>
  <c r="U188" i="21" l="1"/>
  <c r="S189" i="21"/>
  <c r="K189" i="21"/>
  <c r="Q188" i="21"/>
  <c r="T189" i="21" l="1"/>
  <c r="V189" i="21"/>
  <c r="L189" i="21" l="1"/>
  <c r="M189" i="21"/>
  <c r="S190" i="21"/>
  <c r="U189" i="21"/>
  <c r="Q189" i="21"/>
  <c r="I190" i="21"/>
  <c r="K190" i="21" l="1"/>
  <c r="V190" i="21" l="1"/>
  <c r="I191" i="21" l="1"/>
  <c r="T190" i="21"/>
  <c r="M190" i="21"/>
  <c r="L190" i="21"/>
  <c r="K191" i="21" l="1"/>
  <c r="U190" i="21"/>
  <c r="S191" i="21"/>
  <c r="Q190" i="21"/>
  <c r="M191" i="21" l="1"/>
  <c r="V191" i="21"/>
  <c r="T191" i="21" l="1"/>
  <c r="Q191" i="21" s="1"/>
  <c r="I192" i="21"/>
  <c r="L191" i="21"/>
  <c r="K192" i="21" l="1"/>
  <c r="S192" i="21"/>
  <c r="U191" i="21"/>
  <c r="M192" i="21" l="1"/>
  <c r="V192" i="21"/>
  <c r="I193" i="21" l="1"/>
  <c r="T192" i="21"/>
  <c r="L192" i="21"/>
  <c r="U192" i="21" l="1"/>
  <c r="S193" i="21"/>
  <c r="K193" i="21"/>
  <c r="Q192" i="21"/>
  <c r="M193" i="21" l="1"/>
  <c r="V193" i="21"/>
  <c r="L193" i="21" l="1"/>
  <c r="T193" i="21"/>
  <c r="Q193" i="21" s="1"/>
  <c r="I194" i="21"/>
  <c r="K194" i="21" l="1"/>
  <c r="U193" i="21"/>
  <c r="S194" i="21"/>
  <c r="V194" i="21" l="1"/>
  <c r="I195" i="21" l="1"/>
  <c r="L194" i="21"/>
  <c r="T194" i="21"/>
  <c r="M194" i="21"/>
  <c r="S195" i="21" l="1"/>
  <c r="U194" i="21"/>
  <c r="K195" i="21"/>
  <c r="Q194" i="21"/>
  <c r="L195" i="21" l="1"/>
  <c r="V195" i="21"/>
  <c r="M195" i="21" l="1"/>
  <c r="T195" i="21"/>
  <c r="S196" i="21" s="1"/>
  <c r="I196" i="21"/>
  <c r="Q195" i="21" l="1"/>
  <c r="U195" i="21"/>
  <c r="K196" i="21"/>
  <c r="L196" i="21" l="1"/>
  <c r="V196" i="21"/>
  <c r="M196" i="21" l="1"/>
  <c r="T196" i="21"/>
  <c r="I197" i="21"/>
  <c r="U196" i="21" l="1"/>
  <c r="S197" i="21"/>
  <c r="Q196" i="21"/>
  <c r="K197" i="21"/>
  <c r="L197" i="21" l="1"/>
  <c r="V197" i="21"/>
  <c r="M197" i="21" l="1"/>
  <c r="T197" i="21"/>
  <c r="I198" i="21"/>
  <c r="K198" i="21" l="1"/>
  <c r="U197" i="21"/>
  <c r="S198" i="21"/>
  <c r="Q197" i="21"/>
  <c r="T198" i="21" l="1"/>
  <c r="V198" i="21"/>
  <c r="S199" i="21" l="1"/>
  <c r="U198" i="21"/>
  <c r="Q198" i="21"/>
  <c r="I199" i="21"/>
  <c r="L198" i="21"/>
  <c r="M198" i="21"/>
  <c r="K199" i="21" l="1"/>
  <c r="V199" i="21" l="1"/>
  <c r="T199" i="21" l="1"/>
  <c r="I200" i="21"/>
  <c r="M199" i="21"/>
  <c r="L199" i="21"/>
  <c r="S200" i="21" l="1"/>
  <c r="U199" i="21"/>
  <c r="K200" i="21"/>
  <c r="Q199" i="21"/>
  <c r="L200" i="21" l="1"/>
  <c r="V200" i="21"/>
  <c r="M200" i="21" l="1"/>
  <c r="T200" i="21"/>
  <c r="Q200" i="21" s="1"/>
  <c r="I201" i="21"/>
  <c r="K201" i="21" l="1"/>
  <c r="U200" i="21"/>
  <c r="S201" i="21"/>
  <c r="L201" i="21" l="1"/>
  <c r="V201" i="21"/>
  <c r="I202" i="21" l="1"/>
  <c r="M201" i="21"/>
  <c r="T201" i="21"/>
  <c r="S202" i="21" l="1"/>
  <c r="U201" i="21"/>
  <c r="K202" i="21"/>
  <c r="Q201" i="21"/>
  <c r="T202" i="21" l="1"/>
  <c r="V202" i="21"/>
  <c r="S203" i="21" l="1"/>
  <c r="U202" i="21"/>
  <c r="L202" i="21"/>
  <c r="M202" i="21"/>
  <c r="Q202" i="21"/>
  <c r="I203" i="21"/>
  <c r="K203" i="21" l="1"/>
  <c r="V203" i="21" l="1"/>
  <c r="T203" i="21" l="1"/>
  <c r="I204" i="21"/>
  <c r="M203" i="21"/>
  <c r="L203" i="21"/>
  <c r="U203" i="21" l="1"/>
  <c r="S204" i="21"/>
  <c r="K204" i="21"/>
  <c r="Q203" i="21"/>
  <c r="L204" i="21" l="1"/>
  <c r="V204" i="21"/>
  <c r="T204" i="21" l="1"/>
  <c r="M204" i="21"/>
  <c r="Q204" i="21"/>
  <c r="I205" i="21"/>
  <c r="K205" i="21" l="1"/>
  <c r="S205" i="21"/>
  <c r="U204" i="21"/>
  <c r="M205" i="21" l="1"/>
  <c r="V205" i="21"/>
  <c r="L205" i="21" l="1"/>
  <c r="I206" i="21"/>
  <c r="T205" i="21"/>
  <c r="Q205" i="21" s="1"/>
  <c r="K206" i="21" l="1"/>
  <c r="S206" i="21"/>
  <c r="U205" i="21"/>
  <c r="L206" i="21" l="1"/>
  <c r="V206" i="21"/>
  <c r="T206" i="21" l="1"/>
  <c r="Q206" i="21" s="1"/>
  <c r="I207" i="21"/>
  <c r="M206" i="21"/>
  <c r="K207" i="21" l="1"/>
  <c r="S207" i="21"/>
  <c r="U206" i="21"/>
  <c r="T207" i="21" l="1"/>
  <c r="V207" i="21"/>
  <c r="S208" i="21" l="1"/>
  <c r="U207" i="21"/>
  <c r="M207" i="21"/>
  <c r="Q207" i="21"/>
  <c r="I208" i="21"/>
  <c r="L207" i="21"/>
  <c r="K208" i="21" l="1"/>
  <c r="V208" i="21" l="1"/>
  <c r="M208" i="21" l="1"/>
  <c r="T208" i="21"/>
  <c r="I209" i="21"/>
  <c r="L208" i="21"/>
  <c r="U208" i="21" l="1"/>
  <c r="S209" i="21"/>
  <c r="K209" i="21"/>
  <c r="Q208" i="21"/>
  <c r="T209" i="21" l="1"/>
  <c r="V209" i="21"/>
  <c r="U209" i="21" l="1"/>
  <c r="S210" i="21"/>
  <c r="L209" i="21"/>
  <c r="M209" i="21"/>
  <c r="Q209" i="21"/>
  <c r="I210" i="21"/>
  <c r="K210" i="21" l="1"/>
  <c r="V210" i="21" l="1"/>
  <c r="I211" i="21" l="1"/>
  <c r="T210" i="21"/>
  <c r="M210" i="21"/>
  <c r="L210" i="21"/>
  <c r="U210" i="21" l="1"/>
  <c r="S211" i="21"/>
  <c r="K211" i="21"/>
  <c r="Q210" i="21"/>
  <c r="M211" i="21" l="1"/>
  <c r="V211" i="21"/>
  <c r="L211" i="21" l="1"/>
  <c r="T211" i="21"/>
  <c r="I212" i="21"/>
  <c r="S212" i="21" l="1"/>
  <c r="U211" i="21"/>
  <c r="K212" i="21"/>
  <c r="Q211" i="21"/>
  <c r="L212" i="21" l="1"/>
  <c r="V212" i="21"/>
  <c r="T212" i="21" l="1"/>
  <c r="Q212" i="21" s="1"/>
  <c r="M212" i="21"/>
  <c r="I213" i="21"/>
  <c r="K213" i="21" l="1"/>
  <c r="U212" i="21"/>
  <c r="S213" i="21"/>
  <c r="L213" i="21" l="1"/>
  <c r="V213" i="21"/>
  <c r="I214" i="21" l="1"/>
  <c r="M213" i="21"/>
  <c r="T213" i="21"/>
  <c r="S214" i="21" l="1"/>
  <c r="U213" i="21"/>
  <c r="K214" i="21"/>
  <c r="Q213" i="21"/>
  <c r="T214" i="21" l="1"/>
  <c r="V214" i="21"/>
  <c r="U214" i="21" l="1"/>
  <c r="S215" i="21"/>
  <c r="L214" i="21"/>
  <c r="M214" i="21"/>
  <c r="Q214" i="21"/>
  <c r="I215" i="21"/>
  <c r="K215" i="21" l="1"/>
  <c r="V215" i="21" l="1"/>
  <c r="T215" i="21" l="1"/>
  <c r="I216" i="21"/>
  <c r="M215" i="21"/>
  <c r="L215" i="21"/>
  <c r="K216" i="21" l="1"/>
  <c r="S216" i="21"/>
  <c r="U215" i="21"/>
  <c r="Q215" i="21"/>
  <c r="T216" i="21" l="1"/>
  <c r="V216" i="21"/>
  <c r="U216" i="21" l="1"/>
  <c r="S217" i="21"/>
  <c r="L216" i="21"/>
  <c r="M216" i="21"/>
  <c r="Q216" i="21"/>
  <c r="I217" i="21"/>
  <c r="K217" i="21" l="1"/>
  <c r="V217" i="21" l="1"/>
  <c r="L217" i="21" l="1"/>
  <c r="I218" i="21"/>
  <c r="T217" i="21"/>
  <c r="M217" i="21"/>
  <c r="U217" i="21" l="1"/>
  <c r="S218" i="21"/>
  <c r="K218" i="21"/>
  <c r="Q217" i="21"/>
  <c r="T218" i="21" l="1"/>
  <c r="V218" i="21"/>
  <c r="U218" i="21" l="1"/>
  <c r="S219" i="21"/>
  <c r="L218" i="21"/>
  <c r="M218" i="21"/>
  <c r="Q218" i="21"/>
  <c r="I219" i="21"/>
  <c r="K219" i="21" l="1"/>
  <c r="V219" i="21" l="1"/>
  <c r="T219" i="21" l="1"/>
  <c r="I220" i="21"/>
  <c r="M219" i="21"/>
  <c r="L219" i="21"/>
  <c r="S220" i="21" l="1"/>
  <c r="U219" i="21"/>
  <c r="K220" i="21"/>
  <c r="Q219" i="21"/>
  <c r="L220" i="21" l="1"/>
  <c r="V220" i="21"/>
  <c r="M220" i="21" l="1"/>
  <c r="T220" i="21"/>
  <c r="Q220" i="21" s="1"/>
  <c r="I221" i="21"/>
  <c r="K221" i="21" l="1"/>
  <c r="U220" i="21"/>
  <c r="S221" i="21"/>
  <c r="V221" i="21" l="1"/>
  <c r="I222" i="21" l="1"/>
  <c r="M221" i="21"/>
  <c r="L221" i="21"/>
  <c r="T221" i="21"/>
  <c r="K222" i="21" l="1"/>
  <c r="S222" i="21"/>
  <c r="U221" i="21"/>
  <c r="Q221" i="21"/>
  <c r="T222" i="21" l="1"/>
  <c r="S223" i="21" s="1"/>
  <c r="V222" i="21"/>
  <c r="U222" i="21" l="1"/>
  <c r="Q222" i="21"/>
  <c r="I223" i="21"/>
  <c r="L222" i="21"/>
  <c r="M222" i="21"/>
  <c r="K223" i="21" l="1"/>
  <c r="L223" i="21" l="1"/>
  <c r="V223" i="21"/>
  <c r="M223" i="21" l="1"/>
  <c r="T223" i="21"/>
  <c r="I224" i="21"/>
  <c r="K224" i="21" l="1"/>
  <c r="S224" i="21"/>
  <c r="U223" i="21"/>
  <c r="Q223" i="21"/>
  <c r="T224" i="21" l="1"/>
  <c r="V224" i="21"/>
  <c r="U224" i="21" l="1"/>
  <c r="S225" i="21"/>
  <c r="L224" i="21"/>
  <c r="M224" i="21"/>
  <c r="Q224" i="21"/>
  <c r="I225" i="21"/>
  <c r="K225" i="21" l="1"/>
  <c r="V225" i="21" l="1"/>
  <c r="I226" i="21" l="1"/>
  <c r="T225" i="21"/>
  <c r="M225" i="21"/>
  <c r="L225" i="21"/>
  <c r="K226" i="21" l="1"/>
  <c r="U225" i="21"/>
  <c r="S226" i="21"/>
  <c r="Q225" i="21"/>
  <c r="M226" i="21" l="1"/>
  <c r="V226" i="21"/>
  <c r="L226" i="21" l="1"/>
  <c r="I227" i="21"/>
  <c r="T226" i="21"/>
  <c r="S227" i="21" l="1"/>
  <c r="U226" i="21"/>
  <c r="Q226" i="21"/>
  <c r="K227" i="21"/>
  <c r="L227" i="21" l="1"/>
  <c r="V227" i="21"/>
  <c r="M227" i="21" l="1"/>
  <c r="T227" i="21"/>
  <c r="Q227" i="21" s="1"/>
  <c r="I228" i="21"/>
  <c r="S228" i="21" l="1"/>
  <c r="U227" i="21"/>
  <c r="K228" i="21"/>
  <c r="L228" i="21" l="1"/>
  <c r="V228" i="21"/>
  <c r="M228" i="21" l="1"/>
  <c r="T228" i="21"/>
  <c r="I229" i="21"/>
  <c r="U228" i="21" l="1"/>
  <c r="S229" i="21"/>
  <c r="K229" i="21"/>
  <c r="Q228" i="21"/>
  <c r="T229" i="21" l="1"/>
  <c r="V229" i="21"/>
  <c r="U229" i="21" l="1"/>
  <c r="S230" i="21"/>
  <c r="M229" i="21"/>
  <c r="L229" i="21"/>
  <c r="Q229" i="21"/>
  <c r="I230" i="21"/>
  <c r="K230" i="21" l="1"/>
  <c r="V230" i="21" l="1"/>
  <c r="M230" i="21" l="1"/>
  <c r="I231" i="21"/>
  <c r="L230" i="21"/>
  <c r="T230" i="21"/>
  <c r="K231" i="21" l="1"/>
  <c r="U230" i="21"/>
  <c r="S231" i="21"/>
  <c r="Q230" i="21"/>
  <c r="V231" i="21" l="1"/>
  <c r="I232" i="21" l="1"/>
  <c r="L231" i="21"/>
  <c r="T231" i="21"/>
  <c r="M231" i="21"/>
  <c r="S232" i="21" l="1"/>
  <c r="U231" i="21"/>
  <c r="K232" i="21"/>
  <c r="Q231" i="21"/>
  <c r="M232" i="21" l="1"/>
  <c r="V232" i="21"/>
  <c r="L232" i="21" l="1"/>
  <c r="T232" i="21"/>
  <c r="Q232" i="21" s="1"/>
  <c r="I233" i="21"/>
  <c r="K233" i="21" l="1"/>
  <c r="S233" i="21"/>
  <c r="U232" i="21"/>
  <c r="L233" i="21" l="1"/>
  <c r="V233" i="21"/>
  <c r="I234" i="21" l="1"/>
  <c r="T233" i="21"/>
  <c r="M233" i="21"/>
  <c r="K234" i="21" l="1"/>
  <c r="U233" i="21"/>
  <c r="S234" i="21"/>
  <c r="Q233" i="21"/>
  <c r="L234" i="21" l="1"/>
  <c r="V234" i="21"/>
  <c r="I235" i="21" l="1"/>
  <c r="M234" i="21"/>
  <c r="T234" i="21"/>
  <c r="S235" i="21" l="1"/>
  <c r="U234" i="21"/>
  <c r="K235" i="21"/>
  <c r="Q234" i="21"/>
  <c r="T235" i="21" l="1"/>
  <c r="V235" i="21"/>
  <c r="S236" i="21" l="1"/>
  <c r="U235" i="21"/>
  <c r="L235" i="21"/>
  <c r="M235" i="21"/>
  <c r="Q235" i="21"/>
  <c r="I236" i="21"/>
  <c r="K236" i="21" l="1"/>
  <c r="V236" i="21" l="1"/>
  <c r="T236" i="21" l="1"/>
  <c r="I237" i="21"/>
  <c r="M236" i="21"/>
  <c r="L236" i="21"/>
  <c r="K237" i="21" l="1"/>
  <c r="S237" i="21"/>
  <c r="U236" i="21"/>
  <c r="Q236" i="21"/>
  <c r="M237" i="21" l="1"/>
  <c r="V237" i="21"/>
  <c r="L237" i="21" l="1"/>
  <c r="I238" i="21"/>
  <c r="T237" i="21"/>
  <c r="U237" i="21" l="1"/>
  <c r="S238" i="21"/>
  <c r="Q237" i="21"/>
  <c r="K238" i="21"/>
  <c r="L238" i="21" l="1"/>
  <c r="V238" i="21"/>
  <c r="I239" i="21" l="1"/>
  <c r="M238" i="21"/>
  <c r="T238" i="21"/>
  <c r="S239" i="21" l="1"/>
  <c r="U238" i="21"/>
  <c r="K239" i="21"/>
  <c r="Q238" i="21"/>
  <c r="T239" i="21" l="1"/>
  <c r="V239" i="21"/>
  <c r="U239" i="21" l="1"/>
  <c r="S240" i="21"/>
  <c r="L239" i="21"/>
  <c r="M239" i="21"/>
  <c r="Q239" i="21"/>
  <c r="I240" i="21"/>
  <c r="K240" i="21" l="1"/>
  <c r="V240" i="21" l="1"/>
  <c r="T240" i="21" l="1"/>
  <c r="I241" i="21"/>
  <c r="M240" i="21"/>
  <c r="L240" i="21"/>
  <c r="U240" i="21" l="1"/>
  <c r="S241" i="21"/>
  <c r="K241" i="21"/>
  <c r="Q240" i="21"/>
  <c r="L241" i="21" l="1"/>
  <c r="V241" i="21"/>
  <c r="T241" i="21" l="1"/>
  <c r="Q241" i="21" s="1"/>
  <c r="M241" i="21"/>
  <c r="I242" i="21"/>
  <c r="K242" i="21" l="1"/>
  <c r="U241" i="21"/>
  <c r="S242" i="21"/>
  <c r="L242" i="21" l="1"/>
  <c r="V242" i="21"/>
  <c r="I243" i="21" l="1"/>
  <c r="M242" i="21"/>
  <c r="T242" i="21"/>
  <c r="S243" i="21" l="1"/>
  <c r="U242" i="21"/>
  <c r="K243" i="21"/>
  <c r="Q242" i="21"/>
  <c r="T243" i="21" l="1"/>
  <c r="V243" i="21"/>
  <c r="U243" i="21" l="1"/>
  <c r="S244" i="21"/>
  <c r="L243" i="21"/>
  <c r="M243" i="21"/>
  <c r="Q243" i="21"/>
  <c r="I244" i="21"/>
  <c r="K244" i="21" l="1"/>
  <c r="V244" i="21" l="1"/>
  <c r="T244" i="21" l="1"/>
  <c r="I245" i="21"/>
  <c r="M244" i="21"/>
  <c r="L244" i="21"/>
  <c r="K245" i="21" l="1"/>
  <c r="U244" i="21"/>
  <c r="S245" i="21"/>
  <c r="Q244" i="21"/>
  <c r="M245" i="21" l="1"/>
  <c r="V245" i="21"/>
  <c r="L245" i="21" l="1"/>
  <c r="I246" i="21"/>
  <c r="T245" i="21"/>
  <c r="U245" i="21" l="1"/>
  <c r="S246" i="21"/>
  <c r="Q245" i="21"/>
  <c r="K246" i="21"/>
  <c r="T246" i="21" l="1"/>
  <c r="V246" i="21"/>
  <c r="U246" i="21" l="1"/>
  <c r="S247" i="21"/>
  <c r="L246" i="21"/>
  <c r="M246" i="21"/>
  <c r="Q246" i="21"/>
  <c r="I247" i="21"/>
  <c r="K247" i="21" l="1"/>
  <c r="V247" i="21" l="1"/>
  <c r="L247" i="21" l="1"/>
  <c r="I248" i="21"/>
  <c r="T247" i="21"/>
  <c r="M247" i="21"/>
  <c r="U247" i="21" l="1"/>
  <c r="S248" i="21"/>
  <c r="K248" i="21"/>
  <c r="Q247" i="21"/>
  <c r="M248" i="21" l="1"/>
  <c r="V248" i="21"/>
  <c r="L248" i="21" l="1"/>
  <c r="T248" i="21"/>
  <c r="I249" i="21"/>
  <c r="S249" i="21" l="1"/>
  <c r="U248" i="21"/>
  <c r="K249" i="21"/>
  <c r="Q248" i="21"/>
  <c r="L249" i="21" l="1"/>
  <c r="V249" i="21"/>
  <c r="T249" i="21" l="1"/>
  <c r="Q249" i="21" s="1"/>
  <c r="M249" i="21"/>
  <c r="I250" i="21"/>
  <c r="K250" i="21" l="1"/>
  <c r="U249" i="21"/>
  <c r="S250" i="21"/>
  <c r="L250" i="21" l="1"/>
  <c r="V250" i="21"/>
  <c r="I251" i="21" l="1"/>
  <c r="M250" i="21"/>
  <c r="T250" i="21"/>
  <c r="S251" i="21" l="1"/>
  <c r="U250" i="21"/>
  <c r="K251" i="21"/>
  <c r="Q250" i="21"/>
  <c r="T251" i="21" l="1"/>
  <c r="V251" i="21"/>
  <c r="S252" i="21" l="1"/>
  <c r="U251" i="21"/>
  <c r="M251" i="21"/>
  <c r="L251" i="21"/>
  <c r="Q251" i="21"/>
  <c r="I252" i="21"/>
  <c r="K252" i="21" l="1"/>
  <c r="V252" i="21" l="1"/>
  <c r="T252" i="21" l="1"/>
  <c r="Q252" i="21" s="1"/>
  <c r="M252" i="21"/>
  <c r="L252" i="21"/>
  <c r="I253" i="21"/>
  <c r="K253" i="21" l="1"/>
  <c r="U252" i="21"/>
  <c r="S253" i="21"/>
  <c r="T253" i="21" l="1"/>
  <c r="V253" i="21"/>
  <c r="U253" i="21" l="1"/>
  <c r="S254" i="21"/>
  <c r="L253" i="21"/>
  <c r="M253" i="21"/>
  <c r="Q253" i="21"/>
  <c r="I254" i="21"/>
  <c r="K254" i="21" l="1"/>
  <c r="L254" i="21" l="1"/>
  <c r="V254" i="21"/>
  <c r="I255" i="21" l="1"/>
  <c r="T254" i="21"/>
  <c r="M254" i="21"/>
  <c r="K255" i="21" l="1"/>
  <c r="U254" i="21"/>
  <c r="S255" i="21"/>
  <c r="Q254" i="21"/>
  <c r="L255" i="21" l="1"/>
  <c r="V255" i="21"/>
  <c r="T255" i="21" l="1"/>
  <c r="Q255" i="21" s="1"/>
  <c r="I256" i="21"/>
  <c r="M255" i="21"/>
  <c r="K256" i="21" l="1"/>
  <c r="S256" i="21"/>
  <c r="U255" i="21"/>
  <c r="T256" i="21" l="1"/>
  <c r="V256" i="21"/>
  <c r="S257" i="21" l="1"/>
  <c r="U256" i="21"/>
  <c r="Q256" i="21"/>
  <c r="I257" i="21"/>
  <c r="M256" i="21"/>
  <c r="L256" i="21"/>
  <c r="K257" i="21" l="1"/>
  <c r="V257" i="21" l="1"/>
  <c r="M257" i="21" l="1"/>
  <c r="L257" i="21"/>
  <c r="I258" i="21"/>
  <c r="T257" i="21"/>
  <c r="K258" i="21" l="1"/>
  <c r="S258" i="21"/>
  <c r="U257" i="21"/>
  <c r="Q257" i="21"/>
  <c r="M258" i="21" l="1"/>
  <c r="V258" i="21"/>
  <c r="L258" i="21" l="1"/>
  <c r="I259" i="21"/>
  <c r="T258" i="21"/>
  <c r="Q258" i="21" s="1"/>
  <c r="K259" i="21" l="1"/>
  <c r="S259" i="21"/>
  <c r="U258" i="21"/>
  <c r="V259" i="21" l="1"/>
  <c r="I260" i="21" l="1"/>
  <c r="L259" i="21"/>
  <c r="T259" i="21"/>
  <c r="M259" i="21"/>
  <c r="S260" i="21" l="1"/>
  <c r="U259" i="21"/>
  <c r="K260" i="21"/>
  <c r="Q259" i="21"/>
  <c r="M260" i="21" l="1"/>
  <c r="V260" i="21"/>
  <c r="T260" i="21" l="1"/>
  <c r="Q260" i="21" s="1"/>
  <c r="L260" i="21"/>
  <c r="I261" i="21"/>
  <c r="K261" i="21" l="1"/>
  <c r="S261" i="21"/>
  <c r="U260" i="21"/>
  <c r="T261" i="21" l="1"/>
  <c r="V261" i="21"/>
  <c r="U261" i="21" l="1"/>
  <c r="S262" i="21"/>
  <c r="L261" i="21"/>
  <c r="M261" i="21"/>
  <c r="Q261" i="21"/>
  <c r="I262" i="21"/>
  <c r="K262" i="21" l="1"/>
  <c r="V262" i="21" l="1"/>
  <c r="L262" i="21" l="1"/>
  <c r="M262" i="21"/>
  <c r="I263" i="21"/>
  <c r="T262" i="21"/>
  <c r="K263" i="21" l="1"/>
  <c r="U262" i="21"/>
  <c r="S263" i="21"/>
  <c r="Q262" i="21"/>
  <c r="V263" i="21" l="1"/>
  <c r="I264" i="21" l="1"/>
  <c r="L263" i="21"/>
  <c r="T263" i="21"/>
  <c r="M263" i="21"/>
  <c r="S264" i="21" l="1"/>
  <c r="U263" i="21"/>
  <c r="K264" i="21"/>
  <c r="Q263" i="21"/>
  <c r="M264" i="21" l="1"/>
  <c r="V264" i="21"/>
  <c r="T264" i="21" l="1"/>
  <c r="S265" i="21" s="1"/>
  <c r="L264" i="21"/>
  <c r="I265" i="21"/>
  <c r="Q264" i="21" l="1"/>
  <c r="U264" i="21"/>
  <c r="K265" i="21"/>
  <c r="L265" i="21" l="1"/>
  <c r="V265" i="21"/>
  <c r="M265" i="21" l="1"/>
  <c r="T265" i="21"/>
  <c r="I266" i="21"/>
  <c r="U265" i="21" l="1"/>
  <c r="S266" i="21"/>
  <c r="Q265" i="21"/>
  <c r="K266" i="21"/>
  <c r="M266" i="21" l="1"/>
  <c r="V266" i="21"/>
  <c r="L266" i="21" l="1"/>
  <c r="T266" i="21"/>
  <c r="Q266" i="21" s="1"/>
  <c r="I267" i="21"/>
  <c r="K267" i="21" l="1"/>
  <c r="U266" i="21"/>
  <c r="S267" i="21"/>
  <c r="V267" i="21" l="1"/>
  <c r="I268" i="21" l="1"/>
  <c r="L267" i="21"/>
  <c r="T267" i="21"/>
  <c r="M267" i="21"/>
  <c r="S268" i="21" l="1"/>
  <c r="U267" i="21"/>
  <c r="K268" i="21"/>
  <c r="Q267" i="21"/>
  <c r="M268" i="21" l="1"/>
  <c r="V268" i="21"/>
  <c r="T268" i="21" l="1"/>
  <c r="S269" i="21" s="1"/>
  <c r="L268" i="21"/>
  <c r="I269" i="21"/>
  <c r="Q268" i="21" l="1"/>
  <c r="U268" i="21"/>
  <c r="K269" i="21"/>
  <c r="L269" i="21" l="1"/>
  <c r="V269" i="21"/>
  <c r="M269" i="21" l="1"/>
  <c r="T269" i="21"/>
  <c r="I270" i="21"/>
  <c r="U269" i="21" l="1"/>
  <c r="S270" i="21"/>
  <c r="Q269" i="21"/>
  <c r="K270" i="21"/>
  <c r="M270" i="21" l="1"/>
  <c r="V270" i="21"/>
  <c r="T270" i="21" l="1"/>
  <c r="Q270" i="21" s="1"/>
  <c r="L270" i="21"/>
  <c r="I271" i="21"/>
  <c r="K271" i="21" l="1"/>
  <c r="U270" i="21"/>
  <c r="S271" i="21"/>
  <c r="L271" i="21" l="1"/>
  <c r="V271" i="21"/>
  <c r="T271" i="21" l="1"/>
  <c r="Q271" i="21" s="1"/>
  <c r="I272" i="21"/>
  <c r="M271" i="21"/>
  <c r="K272" i="21" l="1"/>
  <c r="S272" i="21"/>
  <c r="U271" i="21"/>
  <c r="T272" i="21" l="1"/>
  <c r="V272" i="21"/>
  <c r="S273" i="21" l="1"/>
  <c r="U272" i="21"/>
  <c r="M272" i="21"/>
  <c r="Q272" i="21"/>
  <c r="I273" i="21"/>
  <c r="L272" i="21"/>
  <c r="K273" i="21" l="1"/>
  <c r="V273" i="21" l="1"/>
  <c r="M273" i="21" l="1"/>
  <c r="I274" i="21"/>
  <c r="L273" i="21"/>
  <c r="T273" i="21"/>
  <c r="K274" i="21" l="1"/>
  <c r="U273" i="21"/>
  <c r="S274" i="21"/>
  <c r="Q273" i="21"/>
  <c r="M274" i="21" l="1"/>
  <c r="V274" i="21"/>
  <c r="L274" i="21" l="1"/>
  <c r="I275" i="21"/>
  <c r="T274" i="21"/>
  <c r="Q274" i="21" s="1"/>
  <c r="K275" i="21" l="1"/>
  <c r="S275" i="21"/>
  <c r="U274" i="21"/>
  <c r="L275" i="21" l="1"/>
  <c r="V275" i="21"/>
  <c r="T275" i="21" l="1"/>
  <c r="Q275" i="21" s="1"/>
  <c r="I276" i="21"/>
  <c r="M275" i="21"/>
  <c r="K276" i="21" l="1"/>
  <c r="S276" i="21"/>
  <c r="U275" i="21"/>
  <c r="M276" i="21" l="1"/>
  <c r="V276" i="21"/>
  <c r="I277" i="21" l="1"/>
  <c r="T276" i="21"/>
  <c r="L276" i="21"/>
  <c r="K277" i="21" l="1"/>
  <c r="S277" i="21"/>
  <c r="U276" i="21"/>
  <c r="Q276" i="21"/>
  <c r="L277" i="21" l="1"/>
  <c r="V277" i="21"/>
  <c r="I278" i="21" l="1"/>
  <c r="T277" i="21"/>
  <c r="M277" i="21"/>
  <c r="U277" i="21" l="1"/>
  <c r="S278" i="21"/>
  <c r="K278" i="21"/>
  <c r="Q277" i="21"/>
  <c r="T278" i="21" l="1"/>
  <c r="V278" i="21"/>
  <c r="U278" i="21" l="1"/>
  <c r="S279" i="21"/>
  <c r="L278" i="21"/>
  <c r="M278" i="21"/>
  <c r="Q278" i="21"/>
  <c r="I279" i="21"/>
  <c r="K279" i="21" l="1"/>
  <c r="L279" i="21" l="1"/>
  <c r="V279" i="21"/>
  <c r="M279" i="21" l="1"/>
  <c r="I280" i="21"/>
  <c r="T279" i="21"/>
  <c r="K280" i="21" l="1"/>
  <c r="S280" i="21"/>
  <c r="U279" i="21"/>
  <c r="Q279" i="21"/>
  <c r="T280" i="21" l="1"/>
  <c r="V280" i="21"/>
  <c r="S281" i="21" l="1"/>
  <c r="U280" i="21"/>
  <c r="M280" i="21"/>
  <c r="Q280" i="21"/>
  <c r="I281" i="21"/>
  <c r="L280" i="21"/>
  <c r="K281" i="21" l="1"/>
  <c r="V281" i="21" l="1"/>
  <c r="M281" i="21" l="1"/>
  <c r="T281" i="21"/>
  <c r="I282" i="21"/>
  <c r="L281" i="21"/>
  <c r="S282" i="21" l="1"/>
  <c r="U281" i="21"/>
  <c r="K282" i="21"/>
  <c r="Q281" i="21"/>
  <c r="M282" i="21" l="1"/>
  <c r="V282" i="21"/>
  <c r="L282" i="21" l="1"/>
  <c r="T282" i="21"/>
  <c r="Q282" i="21" s="1"/>
  <c r="I283" i="21"/>
  <c r="K283" i="21" l="1"/>
  <c r="U282" i="21"/>
  <c r="S283" i="21"/>
  <c r="L283" i="21" l="1"/>
  <c r="V283" i="21"/>
  <c r="T283" i="21" l="1"/>
  <c r="Q283" i="21" s="1"/>
  <c r="I284" i="21"/>
  <c r="M283" i="21"/>
  <c r="K284" i="21" l="1"/>
  <c r="S284" i="21"/>
  <c r="U283" i="21"/>
  <c r="T284" i="21" l="1"/>
  <c r="V284" i="21"/>
  <c r="S285" i="21" l="1"/>
  <c r="U284" i="21"/>
  <c r="M284" i="21"/>
  <c r="Q284" i="21"/>
  <c r="I285" i="21"/>
  <c r="L284" i="21"/>
  <c r="K285" i="21" l="1"/>
  <c r="V285" i="21" l="1"/>
  <c r="M285" i="21" l="1"/>
  <c r="I286" i="21"/>
  <c r="L285" i="21"/>
  <c r="T285" i="21"/>
  <c r="K286" i="21" l="1"/>
  <c r="S286" i="21"/>
  <c r="U285" i="21"/>
  <c r="Q285" i="21"/>
  <c r="M286" i="21" l="1"/>
  <c r="V286" i="21"/>
  <c r="L286" i="21" l="1"/>
  <c r="I287" i="21"/>
  <c r="T286" i="21"/>
  <c r="U286" i="21" l="1"/>
  <c r="S287" i="21"/>
  <c r="Q286" i="21"/>
  <c r="K287" i="21"/>
  <c r="L287" i="21" l="1"/>
  <c r="V287" i="21"/>
  <c r="T287" i="21" l="1"/>
  <c r="Q287" i="21" s="1"/>
  <c r="M287" i="21"/>
  <c r="I288" i="21"/>
  <c r="K288" i="21" l="1"/>
  <c r="S288" i="21"/>
  <c r="U287" i="21"/>
  <c r="V288" i="21" l="1"/>
  <c r="I289" i="21" l="1"/>
  <c r="T288" i="21"/>
  <c r="L288" i="21"/>
  <c r="M288" i="21"/>
  <c r="S289" i="21" l="1"/>
  <c r="U288" i="21"/>
  <c r="K289" i="21"/>
  <c r="Q288" i="21"/>
  <c r="T289" i="21" l="1"/>
  <c r="V289" i="21"/>
  <c r="M289" i="21" l="1"/>
  <c r="U289" i="21"/>
  <c r="S290" i="21"/>
  <c r="L289" i="21"/>
  <c r="Q289" i="21"/>
  <c r="I290" i="21"/>
  <c r="K290" i="21" l="1"/>
  <c r="M290" i="21" l="1"/>
  <c r="V290" i="21"/>
  <c r="L290" i="21" l="1"/>
  <c r="T290" i="21"/>
  <c r="I291" i="21"/>
  <c r="U290" i="21" l="1"/>
  <c r="S291" i="21"/>
  <c r="Q290" i="21"/>
  <c r="K291" i="21"/>
  <c r="M291" i="21" l="1"/>
  <c r="V291" i="21"/>
  <c r="L291" i="21" l="1"/>
  <c r="T291" i="21"/>
  <c r="I292" i="21"/>
  <c r="U291" i="21" l="1"/>
  <c r="S292" i="21"/>
  <c r="K292" i="21"/>
  <c r="Q291" i="21"/>
  <c r="T292" i="21" l="1"/>
  <c r="V292" i="21"/>
  <c r="S293" i="21" l="1"/>
  <c r="U292" i="21"/>
  <c r="M292" i="21"/>
  <c r="L292" i="21"/>
  <c r="Q292" i="21"/>
  <c r="I293" i="21"/>
  <c r="K293" i="21" l="1"/>
  <c r="V293" i="21" l="1"/>
  <c r="I294" i="21" l="1"/>
  <c r="M293" i="21"/>
  <c r="T293" i="21"/>
  <c r="L293" i="21"/>
  <c r="K294" i="21" l="1"/>
  <c r="U293" i="21"/>
  <c r="S294" i="21"/>
  <c r="Q293" i="21"/>
  <c r="L294" i="21" l="1"/>
  <c r="V294" i="21"/>
  <c r="I295" i="21" l="1"/>
  <c r="M294" i="21"/>
  <c r="T294" i="21"/>
  <c r="U294" i="21" l="1"/>
  <c r="S295" i="21"/>
  <c r="K295" i="21"/>
  <c r="Q294" i="21"/>
  <c r="L295" i="21" l="1"/>
  <c r="V295" i="21"/>
  <c r="M295" i="21" l="1"/>
  <c r="T295" i="21"/>
  <c r="Q295" i="21" s="1"/>
  <c r="I296" i="21"/>
  <c r="K296" i="21" l="1"/>
  <c r="U295" i="21"/>
  <c r="S296" i="21"/>
  <c r="L296" i="21" l="1"/>
  <c r="V296" i="21"/>
  <c r="T296" i="21" l="1"/>
  <c r="Q296" i="21" s="1"/>
  <c r="I297" i="21"/>
  <c r="M296" i="21"/>
  <c r="K297" i="21" l="1"/>
  <c r="S297" i="21"/>
  <c r="U296" i="21"/>
  <c r="M297" i="21" l="1"/>
  <c r="V297" i="21"/>
  <c r="I298" i="21" l="1"/>
  <c r="T297" i="21"/>
  <c r="L297" i="21"/>
  <c r="S298" i="21" l="1"/>
  <c r="U297" i="21"/>
  <c r="K298" i="21"/>
  <c r="Q297" i="21"/>
  <c r="T298" i="21" l="1"/>
  <c r="V298" i="21"/>
  <c r="U298" i="21" l="1"/>
  <c r="S299" i="21"/>
  <c r="L298" i="21"/>
  <c r="M298" i="21"/>
  <c r="Q298" i="21"/>
  <c r="I299" i="21"/>
  <c r="K299" i="21" l="1"/>
  <c r="V299" i="21" l="1"/>
  <c r="M299" i="21" l="1"/>
  <c r="I300" i="21"/>
  <c r="L299" i="21"/>
  <c r="T299" i="21"/>
  <c r="K300" i="21" l="1"/>
  <c r="U299" i="21"/>
  <c r="S300" i="21"/>
  <c r="Q299" i="21"/>
  <c r="L300" i="21" l="1"/>
  <c r="V300" i="21"/>
  <c r="M300" i="21" l="1"/>
  <c r="T300" i="21"/>
  <c r="Q300" i="21" s="1"/>
  <c r="I301" i="21"/>
  <c r="U300" i="21" l="1"/>
  <c r="S301" i="21"/>
  <c r="K301" i="21"/>
  <c r="M301" i="21" l="1"/>
  <c r="V301" i="21"/>
  <c r="T301" i="21" l="1"/>
  <c r="Q301" i="21" s="1"/>
  <c r="L301" i="21"/>
  <c r="I302" i="21"/>
  <c r="K302" i="21" l="1"/>
  <c r="S302" i="21"/>
  <c r="U301" i="21"/>
  <c r="L302" i="21" l="1"/>
  <c r="V302" i="21"/>
  <c r="I303" i="21" l="1"/>
  <c r="M302" i="21"/>
  <c r="T302" i="21"/>
  <c r="U302" i="21" l="1"/>
  <c r="S303" i="21"/>
  <c r="K303" i="21"/>
  <c r="Q302" i="21"/>
  <c r="M303" i="21" l="1"/>
  <c r="V303" i="21"/>
  <c r="L303" i="21" l="1"/>
  <c r="T303" i="21"/>
  <c r="I304" i="21"/>
  <c r="U303" i="21" l="1"/>
  <c r="S304" i="21"/>
  <c r="K304" i="21"/>
  <c r="Q303" i="21"/>
  <c r="T304" i="21" l="1"/>
  <c r="V304" i="21"/>
  <c r="U304" i="21" l="1"/>
  <c r="S305" i="21"/>
  <c r="L304" i="21"/>
  <c r="M304" i="21"/>
  <c r="Q304" i="21"/>
  <c r="I305" i="21"/>
  <c r="K305" i="21" l="1"/>
  <c r="V305" i="21" l="1"/>
  <c r="M305" i="21" l="1"/>
  <c r="T305" i="21"/>
  <c r="I306" i="21"/>
  <c r="L305" i="21"/>
  <c r="K306" i="21" l="1"/>
  <c r="U305" i="21"/>
  <c r="S306" i="21"/>
  <c r="Q305" i="21"/>
  <c r="M306" i="21" l="1"/>
  <c r="V306" i="21"/>
  <c r="T306" i="21" l="1"/>
  <c r="Q306" i="21" s="1"/>
  <c r="L306" i="21"/>
  <c r="I307" i="21"/>
  <c r="K307" i="21" l="1"/>
  <c r="U306" i="21"/>
  <c r="S307" i="21"/>
  <c r="V307" i="21" l="1"/>
  <c r="I308" i="21" l="1"/>
  <c r="L307" i="21"/>
  <c r="M307" i="21"/>
  <c r="T307" i="21"/>
  <c r="K308" i="21" l="1"/>
  <c r="S308" i="21"/>
  <c r="U307" i="21"/>
  <c r="Q307" i="21"/>
  <c r="L308" i="21" l="1"/>
  <c r="V308" i="21"/>
  <c r="I309" i="21" l="1"/>
  <c r="T308" i="21"/>
  <c r="M308" i="21"/>
  <c r="K309" i="21" l="1"/>
  <c r="S309" i="21"/>
  <c r="U308" i="21"/>
  <c r="Q308" i="21"/>
  <c r="M309" i="21" l="1"/>
  <c r="V309" i="21"/>
  <c r="I310" i="21" l="1"/>
  <c r="T309" i="21"/>
  <c r="L309" i="21"/>
  <c r="S310" i="21" l="1"/>
  <c r="U309" i="21"/>
  <c r="K310" i="21"/>
  <c r="Q309" i="21"/>
  <c r="L310" i="21" l="1"/>
  <c r="V310" i="21"/>
  <c r="M310" i="21" l="1"/>
  <c r="T310" i="21"/>
  <c r="Q310" i="21" s="1"/>
  <c r="I311" i="21"/>
  <c r="K311" i="21" l="1"/>
  <c r="S311" i="21"/>
  <c r="U310" i="21"/>
  <c r="M311" i="21" l="1"/>
  <c r="V311" i="21"/>
  <c r="I312" i="21" l="1"/>
  <c r="L311" i="21"/>
  <c r="T311" i="21"/>
  <c r="S312" i="21" l="1"/>
  <c r="U311" i="21"/>
  <c r="K312" i="21"/>
  <c r="Q311" i="21"/>
  <c r="T312" i="21" l="1"/>
  <c r="V312" i="21"/>
  <c r="S313" i="21" l="1"/>
  <c r="U312" i="21"/>
  <c r="M312" i="21"/>
  <c r="L312" i="21"/>
  <c r="Q312" i="21"/>
  <c r="I313" i="21"/>
  <c r="K313" i="21" l="1"/>
  <c r="V313" i="21" l="1"/>
  <c r="M313" i="21" l="1"/>
  <c r="I314" i="21"/>
  <c r="T313" i="21"/>
  <c r="L313" i="21"/>
  <c r="U313" i="21" l="1"/>
  <c r="S314" i="21"/>
  <c r="K314" i="21"/>
  <c r="Q313" i="21"/>
  <c r="T314" i="21" l="1"/>
  <c r="V314" i="21"/>
  <c r="U314" i="21" l="1"/>
  <c r="S315" i="21"/>
  <c r="L314" i="21"/>
  <c r="M314" i="21"/>
  <c r="Q314" i="21"/>
  <c r="I315" i="21"/>
  <c r="K315" i="21" l="1"/>
  <c r="V315" i="21" l="1"/>
  <c r="L315" i="21" l="1"/>
  <c r="T315" i="21"/>
  <c r="M315" i="21"/>
  <c r="I316" i="21"/>
  <c r="U315" i="21" l="1"/>
  <c r="S316" i="21"/>
  <c r="K316" i="21"/>
  <c r="Q315" i="21"/>
  <c r="T316" i="21" l="1"/>
  <c r="V316" i="21"/>
  <c r="U316" i="21" l="1"/>
  <c r="S317" i="21"/>
  <c r="L316" i="21"/>
  <c r="M316" i="21"/>
  <c r="Q316" i="21"/>
  <c r="I317" i="21"/>
  <c r="K317" i="21" l="1"/>
  <c r="V317" i="21" l="1"/>
  <c r="M317" i="21" l="1"/>
  <c r="T317" i="21"/>
  <c r="I318" i="21"/>
  <c r="L317" i="21"/>
  <c r="U317" i="21" l="1"/>
  <c r="S318" i="21"/>
  <c r="K318" i="21"/>
  <c r="Q317" i="21"/>
  <c r="T318" i="21" l="1"/>
  <c r="U318" i="21" s="1"/>
  <c r="V318" i="21"/>
  <c r="M318" i="21" l="1"/>
  <c r="L318" i="21"/>
  <c r="S319" i="21"/>
  <c r="Q318" i="21"/>
  <c r="I319" i="21"/>
  <c r="K319" i="21" l="1"/>
  <c r="V319" i="21" l="1"/>
  <c r="M319" i="21" l="1"/>
  <c r="T319" i="21"/>
  <c r="I320" i="21"/>
  <c r="L319" i="21"/>
  <c r="U319" i="21" l="1"/>
  <c r="S320" i="21"/>
  <c r="K320" i="21"/>
  <c r="Q319" i="21"/>
  <c r="L320" i="21" l="1"/>
  <c r="V320" i="21"/>
  <c r="I321" i="21" l="1"/>
  <c r="T320" i="21"/>
  <c r="M320" i="21"/>
  <c r="S321" i="21" l="1"/>
  <c r="U320" i="21"/>
  <c r="K321" i="21"/>
  <c r="Q320" i="21"/>
  <c r="T321" i="21" l="1"/>
  <c r="V321" i="21"/>
  <c r="S322" i="21" l="1"/>
  <c r="U321" i="21"/>
  <c r="M321" i="21"/>
  <c r="L321" i="21"/>
  <c r="Q321" i="21"/>
  <c r="I322" i="21"/>
  <c r="K322" i="21" l="1"/>
  <c r="V322" i="21" l="1"/>
  <c r="M322" i="21" l="1"/>
  <c r="T322" i="21"/>
  <c r="I323" i="21"/>
  <c r="L322" i="21"/>
  <c r="S323" i="21" l="1"/>
  <c r="U322" i="21"/>
  <c r="K323" i="21"/>
  <c r="Q322" i="21"/>
  <c r="L323" i="21" l="1"/>
  <c r="V323" i="21"/>
  <c r="M323" i="21" l="1"/>
  <c r="T323" i="21"/>
  <c r="Q323" i="21" s="1"/>
  <c r="I324" i="21"/>
  <c r="K324" i="21" l="1"/>
  <c r="U323" i="21"/>
  <c r="S324" i="21"/>
  <c r="V324" i="21" l="1"/>
  <c r="I325" i="21" l="1"/>
  <c r="L324" i="21"/>
  <c r="T324" i="21"/>
  <c r="M324" i="21"/>
  <c r="S325" i="21" l="1"/>
  <c r="U324" i="21"/>
  <c r="K325" i="21"/>
  <c r="Q324" i="21"/>
  <c r="T325" i="21" l="1"/>
  <c r="V325" i="21"/>
  <c r="S326" i="21" l="1"/>
  <c r="U325" i="21"/>
  <c r="L325" i="21"/>
  <c r="M325" i="21"/>
  <c r="Q325" i="21"/>
  <c r="I326" i="21"/>
  <c r="K326" i="21" l="1"/>
  <c r="V326" i="21" l="1"/>
  <c r="M326" i="21" l="1"/>
  <c r="I327" i="21"/>
  <c r="L326" i="21"/>
  <c r="T326" i="21"/>
  <c r="K327" i="21" l="1"/>
  <c r="U326" i="21"/>
  <c r="S327" i="21"/>
  <c r="Q326" i="21"/>
  <c r="V327" i="21" l="1"/>
  <c r="I328" i="21" l="1"/>
  <c r="L327" i="21"/>
  <c r="M327" i="21"/>
  <c r="T327" i="21"/>
  <c r="K328" i="21" l="1"/>
  <c r="S328" i="21"/>
  <c r="U327" i="21"/>
  <c r="Q327" i="21"/>
  <c r="V328" i="21" l="1"/>
  <c r="I329" i="21" l="1"/>
  <c r="T328" i="21"/>
  <c r="L328" i="21"/>
  <c r="M328" i="21"/>
  <c r="S329" i="21" l="1"/>
  <c r="U328" i="21"/>
  <c r="K329" i="21"/>
  <c r="Q328" i="21"/>
  <c r="L329" i="21" l="1"/>
  <c r="V329" i="21"/>
  <c r="M329" i="21" l="1"/>
  <c r="T329" i="21"/>
  <c r="U329" i="21" s="1"/>
  <c r="I330" i="21"/>
  <c r="Q329" i="21" l="1"/>
  <c r="S330" i="21"/>
  <c r="K330" i="21"/>
  <c r="V330" i="21" l="1"/>
  <c r="L330" i="21" l="1"/>
  <c r="T330" i="21"/>
  <c r="I331" i="21"/>
  <c r="M330" i="21"/>
  <c r="S331" i="21" l="1"/>
  <c r="U330" i="21"/>
  <c r="K331" i="21"/>
  <c r="Q330" i="21"/>
  <c r="M331" i="21" l="1"/>
  <c r="V331" i="21"/>
  <c r="L331" i="21" l="1"/>
  <c r="I332" i="21"/>
  <c r="T331" i="21"/>
  <c r="K332" i="21" l="1"/>
  <c r="S332" i="21"/>
  <c r="U331" i="21"/>
  <c r="Q331" i="21"/>
  <c r="T332" i="21" l="1"/>
  <c r="V332" i="21"/>
  <c r="S333" i="21" l="1"/>
  <c r="U332" i="21"/>
  <c r="Q332" i="21"/>
  <c r="I333" i="21"/>
  <c r="L332" i="21"/>
  <c r="M332" i="21"/>
  <c r="K333" i="21" l="1"/>
  <c r="V333" i="21" l="1"/>
  <c r="M333" i="21" l="1"/>
  <c r="I334" i="21"/>
  <c r="L333" i="21"/>
  <c r="T333" i="21"/>
  <c r="K334" i="21" l="1"/>
  <c r="U333" i="21"/>
  <c r="S334" i="21"/>
  <c r="Q333" i="21"/>
  <c r="V334" i="21" l="1"/>
  <c r="I335" i="21" l="1"/>
  <c r="L334" i="21"/>
  <c r="M334" i="21"/>
  <c r="T334" i="21"/>
  <c r="K335" i="21" l="1"/>
  <c r="U334" i="21"/>
  <c r="S335" i="21"/>
  <c r="Q334" i="21"/>
  <c r="L335" i="21" l="1"/>
  <c r="V335" i="21"/>
  <c r="I336" i="21" l="1"/>
  <c r="M335" i="21"/>
  <c r="T335" i="21"/>
  <c r="S336" i="21" l="1"/>
  <c r="U335" i="21"/>
  <c r="K336" i="21"/>
  <c r="Q335" i="21"/>
  <c r="L336" i="21" l="1"/>
  <c r="V336" i="21"/>
  <c r="M336" i="21" l="1"/>
  <c r="T336" i="21"/>
  <c r="I337" i="21"/>
  <c r="K337" i="21" l="1"/>
  <c r="S337" i="21"/>
  <c r="U336" i="21"/>
  <c r="Q336" i="21"/>
  <c r="M337" i="21" l="1"/>
  <c r="V337" i="21"/>
  <c r="I338" i="21" l="1"/>
  <c r="T337" i="21"/>
  <c r="L337" i="21"/>
  <c r="S338" i="21" l="1"/>
  <c r="U337" i="21"/>
  <c r="K338" i="21"/>
  <c r="Q337" i="21"/>
  <c r="L338" i="21" l="1"/>
  <c r="V338" i="21"/>
  <c r="T338" i="21" l="1"/>
  <c r="Q338" i="21" s="1"/>
  <c r="M338" i="21"/>
  <c r="I339" i="21"/>
  <c r="K339" i="21" l="1"/>
  <c r="U338" i="21"/>
  <c r="S339" i="21"/>
  <c r="V339" i="21" l="1"/>
  <c r="I340" i="21" l="1"/>
  <c r="L339" i="21"/>
  <c r="M339" i="21"/>
  <c r="T339" i="21"/>
  <c r="K340" i="21" l="1"/>
  <c r="S340" i="21"/>
  <c r="U339" i="21"/>
  <c r="Q339" i="21"/>
  <c r="T340" i="21" l="1"/>
  <c r="V340" i="21"/>
  <c r="S341" i="21" l="1"/>
  <c r="U340" i="21"/>
  <c r="Q340" i="21"/>
  <c r="I341" i="21"/>
  <c r="L340" i="21"/>
  <c r="M340" i="21"/>
  <c r="K341" i="21" l="1"/>
  <c r="V341" i="21" l="1"/>
  <c r="T341" i="21" l="1"/>
  <c r="I342" i="21"/>
  <c r="M341" i="21"/>
  <c r="L341" i="21"/>
  <c r="S342" i="21" l="1"/>
  <c r="U341" i="21"/>
  <c r="K342" i="21"/>
  <c r="Q341" i="21"/>
  <c r="L342" i="21" l="1"/>
  <c r="V342" i="21"/>
  <c r="M342" i="21" l="1"/>
  <c r="T342" i="21"/>
  <c r="S343" i="21" s="1"/>
  <c r="I343" i="21"/>
  <c r="Q342" i="21" l="1"/>
  <c r="U342" i="21"/>
  <c r="K343" i="21"/>
  <c r="L343" i="21" l="1"/>
  <c r="V343" i="21"/>
  <c r="M343" i="21" l="1"/>
  <c r="T343" i="21"/>
  <c r="I344" i="21"/>
  <c r="S344" i="21" l="1"/>
  <c r="U343" i="21"/>
  <c r="Q343" i="21"/>
  <c r="K344" i="21"/>
  <c r="M344" i="21" l="1"/>
  <c r="V344" i="21"/>
  <c r="L344" i="21" l="1"/>
  <c r="T344" i="21"/>
  <c r="I345" i="21"/>
  <c r="U344" i="21" l="1"/>
  <c r="S345" i="21"/>
  <c r="K345" i="21"/>
  <c r="Q344" i="21"/>
  <c r="T345" i="21" l="1"/>
  <c r="V345" i="21"/>
  <c r="U345" i="21" l="1"/>
  <c r="S346" i="21"/>
  <c r="M345" i="21"/>
  <c r="L345" i="21"/>
  <c r="Q345" i="21"/>
  <c r="I346" i="21"/>
  <c r="K346" i="21" l="1"/>
  <c r="V346" i="21" l="1"/>
  <c r="L346" i="21" l="1"/>
  <c r="T346" i="21"/>
  <c r="I347" i="21"/>
  <c r="M346" i="21"/>
  <c r="K347" i="21" l="1"/>
  <c r="S347" i="21"/>
  <c r="U346" i="21"/>
  <c r="Q346" i="21"/>
  <c r="V347" i="21" l="1"/>
  <c r="I348" i="21" l="1"/>
  <c r="L347" i="21"/>
  <c r="M347" i="21"/>
  <c r="T347" i="21"/>
  <c r="K348" i="21" l="1"/>
  <c r="S348" i="21"/>
  <c r="U347" i="21"/>
  <c r="Q347" i="21"/>
  <c r="T348" i="21" l="1"/>
  <c r="V348" i="21"/>
  <c r="S349" i="21" l="1"/>
  <c r="U348" i="21"/>
  <c r="Q348" i="21"/>
  <c r="I349" i="21"/>
  <c r="L348" i="21"/>
  <c r="M348" i="21"/>
  <c r="K349" i="21" l="1"/>
  <c r="V349" i="21" l="1"/>
  <c r="M349" i="21" l="1"/>
  <c r="T349" i="21"/>
  <c r="I350" i="21"/>
  <c r="L349" i="21"/>
  <c r="U349" i="21" l="1"/>
  <c r="S350" i="21"/>
  <c r="K350" i="21"/>
  <c r="Q349" i="21"/>
  <c r="M350" i="21" l="1"/>
  <c r="V350" i="21"/>
  <c r="L350" i="21" l="1"/>
  <c r="T350" i="21"/>
  <c r="Q350" i="21" s="1"/>
  <c r="I351" i="21"/>
  <c r="K351" i="21" l="1"/>
  <c r="S351" i="21"/>
  <c r="U350" i="21"/>
  <c r="L351" i="21" l="1"/>
  <c r="V351" i="21"/>
  <c r="I352" i="21" l="1"/>
  <c r="M351" i="21"/>
  <c r="T351" i="21"/>
  <c r="S352" i="21" l="1"/>
  <c r="U351" i="21"/>
  <c r="K352" i="21"/>
  <c r="Q351" i="21"/>
  <c r="M352" i="21" l="1"/>
  <c r="V352" i="21"/>
  <c r="T352" i="21" l="1"/>
  <c r="S353" i="21" s="1"/>
  <c r="L352" i="21"/>
  <c r="I353" i="21"/>
  <c r="Q352" i="21" l="1"/>
  <c r="U352" i="21"/>
  <c r="K353" i="21"/>
  <c r="L353" i="21" l="1"/>
  <c r="V353" i="21"/>
  <c r="M353" i="21" l="1"/>
  <c r="T353" i="21"/>
  <c r="I354" i="21"/>
  <c r="K354" i="21" l="1"/>
  <c r="S354" i="21"/>
  <c r="U353" i="21"/>
  <c r="Q353" i="21"/>
  <c r="T354" i="21" l="1"/>
  <c r="V354" i="21"/>
  <c r="U354" i="21" l="1"/>
  <c r="S355" i="21"/>
  <c r="Q354" i="21"/>
  <c r="I355" i="21"/>
  <c r="L354" i="21"/>
  <c r="M354" i="21"/>
  <c r="K355" i="21" l="1"/>
  <c r="M355" i="21" l="1"/>
  <c r="V355" i="21"/>
  <c r="L355" i="21" l="1"/>
  <c r="I356" i="21"/>
  <c r="T355" i="21"/>
  <c r="S356" i="21" l="1"/>
  <c r="U355" i="21"/>
  <c r="Q355" i="21"/>
  <c r="K356" i="21"/>
  <c r="T356" i="21" l="1"/>
  <c r="V356" i="21"/>
  <c r="U356" i="21" l="1"/>
  <c r="S357" i="21"/>
  <c r="L356" i="21"/>
  <c r="M356" i="21"/>
  <c r="Q356" i="21"/>
  <c r="I357" i="21"/>
  <c r="K357" i="21" l="1"/>
  <c r="V357" i="21" l="1"/>
  <c r="L357" i="21" l="1"/>
  <c r="T357" i="21"/>
  <c r="I358" i="21"/>
  <c r="M357" i="21"/>
  <c r="U357" i="21" l="1"/>
  <c r="S358" i="21"/>
  <c r="K358" i="21"/>
  <c r="Q357" i="21"/>
  <c r="M358" i="21" l="1"/>
  <c r="V358" i="21"/>
  <c r="L358" i="21" l="1"/>
  <c r="I359" i="21"/>
  <c r="T358" i="21"/>
  <c r="Q358" i="21" s="1"/>
  <c r="K359" i="21" l="1"/>
  <c r="S359" i="21"/>
  <c r="U358" i="21"/>
  <c r="L359" i="21" l="1"/>
  <c r="V359" i="21"/>
  <c r="T359" i="21" l="1"/>
  <c r="Q359" i="21" s="1"/>
  <c r="I360" i="21"/>
  <c r="M359" i="21"/>
  <c r="K360" i="21" l="1"/>
  <c r="S360" i="21"/>
  <c r="U359" i="21"/>
  <c r="T360" i="21" l="1"/>
  <c r="V360" i="21"/>
  <c r="S361" i="21" l="1"/>
  <c r="U360" i="21"/>
  <c r="M360" i="21"/>
  <c r="Q360" i="21"/>
  <c r="I361" i="21"/>
  <c r="L360" i="21"/>
  <c r="K361" i="21" l="1"/>
  <c r="V361" i="21" l="1"/>
  <c r="M361" i="21" l="1"/>
  <c r="I362" i="21"/>
  <c r="T361" i="21"/>
  <c r="L361" i="21"/>
  <c r="K362" i="21" l="1"/>
  <c r="S362" i="21"/>
  <c r="U361" i="21"/>
  <c r="Q361" i="21"/>
  <c r="L362" i="21" l="1"/>
  <c r="V362" i="21"/>
  <c r="I363" i="21" l="1"/>
  <c r="M362" i="21"/>
  <c r="T362" i="21"/>
  <c r="S363" i="21" l="1"/>
  <c r="U362" i="21"/>
  <c r="K363" i="21"/>
  <c r="Q362" i="21"/>
  <c r="L363" i="21" l="1"/>
  <c r="V363" i="21"/>
  <c r="T363" i="21" l="1"/>
  <c r="Q363" i="21" s="1"/>
  <c r="M363" i="21"/>
  <c r="I364" i="21"/>
  <c r="K364" i="21" l="1"/>
  <c r="U363" i="21"/>
  <c r="S364" i="21"/>
  <c r="M364" i="21" l="1"/>
  <c r="V364" i="21"/>
  <c r="T364" i="21" l="1"/>
  <c r="Q364" i="21" s="1"/>
  <c r="I365" i="21"/>
  <c r="L364" i="21"/>
  <c r="K365" i="21" l="1"/>
  <c r="S365" i="21"/>
  <c r="U364" i="21"/>
  <c r="M365" i="21" l="1"/>
  <c r="V365" i="21"/>
  <c r="L365" i="21" l="1"/>
  <c r="I366" i="21"/>
  <c r="T365" i="21"/>
  <c r="U365" i="21" l="1"/>
  <c r="S366" i="21"/>
  <c r="Q365" i="21"/>
  <c r="K366" i="21"/>
  <c r="T366" i="21" l="1"/>
  <c r="V366" i="21"/>
  <c r="M366" i="21" l="1"/>
  <c r="U366" i="21"/>
  <c r="S367" i="21"/>
  <c r="L366" i="21"/>
  <c r="Q366" i="21"/>
  <c r="I367" i="21"/>
  <c r="K367" i="21" l="1"/>
  <c r="M367" i="21" l="1"/>
  <c r="V367" i="21"/>
  <c r="T367" i="21" l="1"/>
  <c r="I368" i="21"/>
  <c r="L367" i="21"/>
  <c r="K368" i="21" l="1"/>
  <c r="S368" i="21"/>
  <c r="U367" i="21"/>
  <c r="Q367" i="21"/>
  <c r="T368" i="21" l="1"/>
  <c r="V368" i="21"/>
  <c r="S369" i="21" l="1"/>
  <c r="U368" i="21"/>
  <c r="Q368" i="21"/>
  <c r="I369" i="21"/>
  <c r="K369" i="21" s="1"/>
  <c r="M368" i="21"/>
  <c r="L368" i="21"/>
  <c r="T369" i="21" l="1"/>
  <c r="U369" i="21" s="1"/>
  <c r="V369" i="21"/>
  <c r="L369" i="21" l="1"/>
  <c r="M369" i="21"/>
  <c r="J9" i="5" s="1"/>
  <c r="Q369" i="21"/>
  <c r="J11" i="5" l="1"/>
  <c r="I24" i="2" s="1"/>
</calcChain>
</file>

<file path=xl/sharedStrings.xml><?xml version="1.0" encoding="utf-8"?>
<sst xmlns="http://schemas.openxmlformats.org/spreadsheetml/2006/main" count="2484" uniqueCount="1869">
  <si>
    <t xml:space="preserve">Powered by                          </t>
  </si>
  <si>
    <t>Select your language:</t>
  </si>
  <si>
    <t xml:space="preserve">Powered by             </t>
  </si>
  <si>
    <t>1.</t>
  </si>
  <si>
    <t>-</t>
  </si>
  <si>
    <t>Linea di prodotto 1</t>
  </si>
  <si>
    <t>Linea di prodotto 2</t>
  </si>
  <si>
    <t>Hoeveel is de inkoopwaarde van je omzet per maand?</t>
  </si>
  <si>
    <t>Getal:</t>
  </si>
  <si>
    <t>Maand 1</t>
  </si>
  <si>
    <t>vul bedrag in:</t>
  </si>
  <si>
    <t>Maand 2</t>
  </si>
  <si>
    <t>Maand 3</t>
  </si>
  <si>
    <t>Maand 4</t>
  </si>
  <si>
    <t>Maand 5</t>
  </si>
  <si>
    <t>Maand 6</t>
  </si>
  <si>
    <t>Maand 7</t>
  </si>
  <si>
    <t>Maand 8</t>
  </si>
  <si>
    <t>Maand 9</t>
  </si>
  <si>
    <t>Maand 10</t>
  </si>
  <si>
    <t>Maand 11</t>
  </si>
  <si>
    <t>Maand 12</t>
  </si>
  <si>
    <t xml:space="preserve">Wat is de vraagprijs van jouw product, dienst of uurtarief?  </t>
  </si>
  <si>
    <t>Privé: Aftrekposten belastingdienst</t>
  </si>
  <si>
    <t>Ja</t>
  </si>
  <si>
    <t>Powered by</t>
  </si>
  <si>
    <t>Rendita finanziaria</t>
  </si>
  <si>
    <t>Total</t>
  </si>
  <si>
    <t>Spazio per commenti aggiuntivi</t>
  </si>
  <si>
    <t>Anno 1</t>
  </si>
  <si>
    <t>Anno 2</t>
  </si>
  <si>
    <t>Anno 3</t>
  </si>
  <si>
    <t>Effectieve rente - voor APR</t>
  </si>
  <si>
    <t>Taal</t>
  </si>
  <si>
    <t>Nederlands</t>
  </si>
  <si>
    <t>English</t>
  </si>
  <si>
    <t>Espanol</t>
  </si>
  <si>
    <t>Italiano</t>
  </si>
  <si>
    <t>Intro</t>
  </si>
  <si>
    <t>Introducción</t>
  </si>
  <si>
    <t>Introduzione</t>
  </si>
  <si>
    <t>Financieel plan</t>
  </si>
  <si>
    <t>Financial plan</t>
  </si>
  <si>
    <t>Plan financiero</t>
  </si>
  <si>
    <t>Piano finanziario</t>
  </si>
  <si>
    <t>N.B.: Voordat je verder gaat moet het bestand worden opgeslagen op jouw computer. Dit doe je via Bestand -&gt; Opslaan als, of met F12.</t>
  </si>
  <si>
    <t>PLEASE NOTE: Before you continue, the file must be stored on your computer. You do this by selecting File -&gt; Save As, or using F12.</t>
  </si>
  <si>
    <t xml:space="preserve">Nota: Antes de seguir, guarda el archivo en tu ordenador. Esto se hace seleccionando el Archivo -&gt; Guardar como, o F12.
</t>
  </si>
  <si>
    <t>N.B.: Prima di continuare, devi salvare il file sul tuo computer. A questo scopo, seleziona File -&gt; Salva, o utilizza il tasto F12.</t>
  </si>
  <si>
    <t>Introductie</t>
  </si>
  <si>
    <t>Introduction</t>
  </si>
  <si>
    <t>Het maken van een financieel plan is een belangrijk onderdeel van je ondernemingsplan, zeker als je een financiering wilt aanvragen. Een compleet financieel plan bestaat  minimaal uit onderstaande begrotingen. Klik op de onderstaande begrotingen om ze te bekijken.</t>
  </si>
  <si>
    <t>A financial plan is a very important part of the business plan, especially when you want to apply for a loan. The financial plan will give you a picture of the financial expectations of your future company. Click on the budgets below to view them.</t>
  </si>
  <si>
    <t>Un plan financiero es una parte muy importante de un plan de negocios, especialmente si tienes intención de pedir un préstamo. El plan financiero te dará una idea de las expectativas financieras de tu futura empresa. Haz clic en los siguientes presupuestos para verlos.</t>
  </si>
  <si>
    <t>La preparazione di un piano finanziario è una parte importante del tuo piano d’impresa, in particolare se intendi richiedere un finanziamento. Un piano finanziario completo deve includere come minimo le previsioni seguenti. Fai clic sulle previsioni seguenti per visualizzarle.</t>
  </si>
  <si>
    <t xml:space="preserve">    Investeringsbegroting</t>
  </si>
  <si>
    <t xml:space="preserve">    Investment budget</t>
  </si>
  <si>
    <t xml:space="preserve">    Plan de Inversión y financiación</t>
  </si>
  <si>
    <t xml:space="preserve">    Previsione di investimento</t>
  </si>
  <si>
    <t xml:space="preserve">    Financieringsbegroting</t>
  </si>
  <si>
    <t xml:space="preserve">    Financing budget</t>
  </si>
  <si>
    <t xml:space="preserve">    Plan de Tesorería</t>
  </si>
  <si>
    <t xml:space="preserve">    Previsione di finanziamento</t>
  </si>
  <si>
    <t xml:space="preserve">    Exploitatiebegroting</t>
  </si>
  <si>
    <t xml:space="preserve">    Operating budget</t>
  </si>
  <si>
    <t xml:space="preserve">    Previsión de Cobros y Pagos</t>
  </si>
  <si>
    <t xml:space="preserve">    Previsione di gestione</t>
  </si>
  <si>
    <t xml:space="preserve">    Liquiditeitsbegroting</t>
  </si>
  <si>
    <t xml:space="preserve">    Cash flow budget</t>
  </si>
  <si>
    <t xml:space="preserve">    Cuadro de amortización Oportunitas</t>
  </si>
  <si>
    <t xml:space="preserve">    Previsione di liquidità</t>
  </si>
  <si>
    <t>Hoe in te vullen?</t>
  </si>
  <si>
    <t>How to make your financial plan?</t>
  </si>
  <si>
    <t>¿Cómo se elabora un plan financiero?</t>
  </si>
  <si>
    <t>Istruzioni per la compilazione</t>
  </si>
  <si>
    <t xml:space="preserve">Dit financiële format helpt je met het opstellen van deze prognoses. </t>
  </si>
  <si>
    <t xml:space="preserve">This financial format will help you fill in the four required budgets. </t>
  </si>
  <si>
    <t xml:space="preserve">Este formato financiero te ayudará a completar los cuatro presupuestos necesarios. </t>
  </si>
  <si>
    <t xml:space="preserve">Questo formato finanziario aiuta a identificare le suddette previsioni. </t>
  </si>
  <si>
    <t>Het opstellen van dit financiële plan doe je door het beantwoorden van de vragen die worden gesteld op het tabblad VRAGENIJST.</t>
  </si>
  <si>
    <t>You can put together your financial plan by answering the questions on the Questionnaire worksheet.</t>
  </si>
  <si>
    <t>Responder a las preguntas del cuestionario te puede ayudar a elaborar tu plan financiero.</t>
  </si>
  <si>
    <t>Per preparare questo piano finanziario devi rispondere alle domande che troverai nella scheda QUESTIONARIO.</t>
  </si>
  <si>
    <t>Bij de meeste vragen moet je een bedrag invullen, bij andere vragen moet een getal of onderdeel selecteren uit een lijst.</t>
  </si>
  <si>
    <t>For most questions you fill in an amount, for other questions you either put in a number or select an option from a pull-down menu.</t>
  </si>
  <si>
    <t>Para responder a la mayoría de preguntas debes introducir un importe. Para el resto, puedes seleccionar un número o una opción del menú desplegable.</t>
  </si>
  <si>
    <t>Nella maggior parte dei casi dovrai inserire un importo; in altri casi dovrai selezionare una cifra o una lettera in un elenco.</t>
  </si>
  <si>
    <t>Door het beantwoorden van de vragenlijst, worden de financiële overzichten automatisch ingevuld en doorgerekend.</t>
  </si>
  <si>
    <t>By answering the questions on this page corresponding fields on the other worksheets will be filled in automatically and a financial report will be generated.</t>
  </si>
  <si>
    <t>A medida que respondas a las preguntas de esta página, se rellenarán automáticamente los campos correspondientes en las demás hojas de cálculo y se generará un informe financiero.</t>
  </si>
  <si>
    <t>Mano a mano che compili il questionario, vengono automaticamente compilati e calcolati i prospetti finanziari.</t>
  </si>
  <si>
    <t>Deze overzichten zijn te vinden op de blauw gekleurden tabbladen. Deze tabbladen zijn niet in te vullen of te wijzigen. Als je een wijziging wilt aanbrengen doe je dat door het antwoord op de vraag in de vragenlijst te wijzigen!</t>
  </si>
  <si>
    <t>These financial statements can be found on the blue worksheets which cannot be filled in or altered manually. If you wish to make a change there, you will have to change the answer to the corresponding question in the questionnaire!</t>
  </si>
  <si>
    <t>Estas declaraciones financieras están en las hojas de cálculo azules, que no se pueden modificar ni cumplimentar manualmente. Si deseas modificarlas, tendrás que cambiar tu respuesta en la pregunta correspondiente del cuestionario.</t>
  </si>
  <si>
    <t>Potrai trovare i prospetti nelle schede di colore blu. Queste schede non possono essere compilate o modificate. Se vuoi apportare una modifica, devi modificare la risposta alla domanda nel questionario.</t>
  </si>
  <si>
    <t>Uitprinten</t>
  </si>
  <si>
    <t>Print out</t>
  </si>
  <si>
    <t>Imprimir</t>
  </si>
  <si>
    <t>Stampa</t>
  </si>
  <si>
    <t>Je kunt het gehele financiële plan in één keer uitprinten door in het scherm 'afdrukken' het vakje 'hele werkmap' te selecteren.</t>
  </si>
  <si>
    <t>You can print out the entire financial plan by selecting the box 'entire working folder' in the 'print' screen.</t>
  </si>
  <si>
    <t>Se puede imprimir todo el plan financiero de una sola vez seleccionando en la pantalla "imprimir" y seleccionando luego donde dice archivo completo.</t>
  </si>
  <si>
    <t xml:space="preserve">Puoi stampare il piano finanziario completo selezionando la voce ‘stampa intera cartella di lavoro’ seguendo il percorso File &gt; Stampa </t>
  </si>
  <si>
    <t>Financieringsaanvraag</t>
  </si>
  <si>
    <t>Financing application</t>
  </si>
  <si>
    <t>Solicitud de financiación</t>
  </si>
  <si>
    <t>Richiesta di finanziamento</t>
  </si>
  <si>
    <t>Als je dit plan opstelt ten behoeve van een financieringsaanvraag bij Qredits, dan kunt je het financiële plan samen met je ondernemingsplan uploaden via:</t>
  </si>
  <si>
    <t>If you are drafting this plan for a Qreditsloan application, you can upload the financial plan together with your business plan at:</t>
  </si>
  <si>
    <t xml:space="preserve">Si vas a elaborar este plan para una solicitud de financiación para Oportunitas,
puedes subir tu plan financiero junto con tu plan de negocio a través de: </t>
  </si>
  <si>
    <t>Se stai preparando questo piano ai fini di una richiesta di finanziamento indirizzata a UniCredit, puoi caricare il piano finanziario e il tuo piano d’impresa all’indirizzo:</t>
  </si>
  <si>
    <t>http://www.oportunitasimf.org/</t>
  </si>
  <si>
    <t xml:space="preserve">http://www.oportunitasimf.org/ </t>
  </si>
  <si>
    <t xml:space="preserve">http://www.unicredit.it/ </t>
  </si>
  <si>
    <t xml:space="preserve">Disclaimer: Qredits draagt er zorg voor om de inhoud van deze module regelmatig bij te werken of toevoegingen hieraan te maken. Desalniettemin is Qredits niet aansprakelijk voor onjuistheden of onvolledigheden in de aangeboden inhoud. Qredits is op geen enkele wijze aansprakelijkheid voor schade voortvloeiend uit het gebruik van deze module. Het is de gebruiker slechts toegestaan om de module voor eigen gebruik op te slaan, af te drukken en te kopiëren.  </t>
  </si>
  <si>
    <t xml:space="preserve">Disclaimer: Qredits ensures that the content of this module is regularly updated or supplemented. Nevertheless, Qredits is not responsible for any inaccuracies or omissions in the content thereof. Qredits is in no way liable for any damages resulting from the use of this module. The user is only allowed to save, print, and copy the module for personal use.  </t>
  </si>
  <si>
    <t>Exención de responsabilidad: Oportunitas asegura actualizar periódicamente el contenido de este módulo y ampliarlo. Sin embargo Oportunitas no se hace responsable de las inexactitudes u omisiones en el contenido. Oportunitas no se hace responsable por los daños derivados del uso de este módulo. Al usuario sólo se le permite guardar, imprimir y copiar el documento para uso estrictamente personal.</t>
  </si>
  <si>
    <t>Dichiarazione di limitazione di responsabilità Qredits assicura che il contenuto di questo modello viene regolarmente aggiornato o integrato. Tuttavia, Qredits non è responsabile per eventuali inesattezze od omissioni nel contenuto della stesso. Qredits non è in alcun modo responsabile per eventuali danni derivanti dall'uso di questo modello. All’utente è consentito solo salvare, stampare e copiare il modello per uso personale.</t>
  </si>
  <si>
    <t>VRAGENLIJST</t>
  </si>
  <si>
    <t>Questionnaire</t>
  </si>
  <si>
    <t>Cuestionario</t>
  </si>
  <si>
    <t>QUESTIONARIO</t>
  </si>
  <si>
    <t>Vragenlijst financieel plan</t>
  </si>
  <si>
    <t>Questionnaire financial plan</t>
  </si>
  <si>
    <t>Questionario sul piano finanziario</t>
  </si>
  <si>
    <t>Om mee te beginnen..</t>
  </si>
  <si>
    <t>But first..</t>
  </si>
  <si>
    <t>Para empezar..</t>
  </si>
  <si>
    <t>Premesse</t>
  </si>
  <si>
    <t>Welke rechtsvorm heeft je bedrijf?</t>
  </si>
  <si>
    <t>What legal form does your company have?</t>
  </si>
  <si>
    <t>¿Cuál es la forma jurídica de tu empresa?</t>
  </si>
  <si>
    <t>Qual è la forma giuridica della tua azienda?</t>
  </si>
  <si>
    <t>How many entrepreneurs are in the company?</t>
  </si>
  <si>
    <t>Antwoord:</t>
  </si>
  <si>
    <t>Answer:</t>
  </si>
  <si>
    <t>Respuesta:</t>
  </si>
  <si>
    <t>Risposta:</t>
  </si>
  <si>
    <t>Selecteer:</t>
  </si>
  <si>
    <t>select:</t>
  </si>
  <si>
    <t>Selecciona:</t>
  </si>
  <si>
    <t>Seleziona:</t>
  </si>
  <si>
    <t>Wat is de winstverdeling?</t>
  </si>
  <si>
    <t>What is the distribution of profits?</t>
  </si>
  <si>
    <t>¿Cuál es la distribución de los beneficios?</t>
  </si>
  <si>
    <t>Qual è il piano di riparto degli utili?</t>
  </si>
  <si>
    <t>vul perc in:</t>
  </si>
  <si>
    <t>please complete:</t>
  </si>
  <si>
    <t>Rellenar:</t>
  </si>
  <si>
    <t>Inserisci la percentuale:</t>
  </si>
  <si>
    <t>is berekend:</t>
  </si>
  <si>
    <t>Calculated:</t>
  </si>
  <si>
    <t>Cálculo:</t>
  </si>
  <si>
    <t>calcolato:</t>
  </si>
  <si>
    <t>Privé-inkomsten (maandelijks)</t>
  </si>
  <si>
    <t>Personal income (monthly)</t>
  </si>
  <si>
    <t>Ingresos personales (mensuales)</t>
  </si>
  <si>
    <t>Redditi privati (mensili)</t>
  </si>
  <si>
    <t>Hoeveel salaris (uit loondienstverband) krijg je maandelijks op je rekening gestort?</t>
  </si>
  <si>
    <t>How much salary (employment-related) is credited to your account every month?</t>
  </si>
  <si>
    <t>¿A cuánto asciende su sueldo mensual (proveniente de un empleo)?</t>
  </si>
  <si>
    <t>Qual è l'importo dello stipendo (da lavoro dipendente) che viene versato mensilmente sul tuo conto?</t>
  </si>
  <si>
    <t>Hoeveel van dat salaris ontvang je nog als je jouw bedrijf hebt opgestart?</t>
  </si>
  <si>
    <t>How much of this salary will you still receive once you've started your business?</t>
  </si>
  <si>
    <t>¿Qué importe de este sueldo seguirías percibiendo una vez hayas iniciado tu negocio?</t>
  </si>
  <si>
    <t>Quanto di questo stipendio continuerai a ricevere dopo che avrai avviato la tua azienda?</t>
  </si>
  <si>
    <t>Als je een (tijdelijke) uitkering ontvangt, hoe hoog is deze per maand?</t>
  </si>
  <si>
    <t>If you receive (temporary) benefits, how much is this per month?</t>
  </si>
  <si>
    <t>Si recibes una prestación/subsidio ¿A cuánto asciende el importe mensual?</t>
  </si>
  <si>
    <t>Hoelang loopt deze uitkering door na de start van jouw bedrijf?</t>
  </si>
  <si>
    <t>How long will this benefit continue after the start-up of your business?</t>
  </si>
  <si>
    <t>¿Por cuánto tiempo podrás recibir ésta prestación una vez hayas iniciado tu negocio?</t>
  </si>
  <si>
    <t>Hoe hoog zijn de toeslagen (als kind-, zorg- en huurtoeslag) per maand?</t>
  </si>
  <si>
    <t>How high are the monthly tax allowances/deductibles (for childcare, social housing, healthcare, etc.)</t>
  </si>
  <si>
    <t>¿Cuál es el importe mensual de las deducciones a las que tienes derecho (por ejemplo, vivienda social, seguros médicos, etc.)?</t>
  </si>
  <si>
    <t>Qual è l'ammontare mensile delle integrazioni di stipendio/sussidi che riceverai (ad esempio per figli, cure sanitarie, affitti...)</t>
  </si>
  <si>
    <t>Heb je een partner met inkomen (uit loondienstverband of uitkering)?</t>
  </si>
  <si>
    <t>Do you have a partner with an income (from employment or benefits)?</t>
  </si>
  <si>
    <t>¿Algún otro miembro de la unidad familiar aporta ingresos vía salario o prestación?</t>
  </si>
  <si>
    <t>Hai un partner con un reddito (stipendio o sussidio)?</t>
  </si>
  <si>
    <t>Totaal gezamenlijke maandinkomsten op dit moment:</t>
  </si>
  <si>
    <t>Total combined monthly income at this moment:</t>
  </si>
  <si>
    <t>Total de ingresos mensuales en conjunto en este momento:</t>
  </si>
  <si>
    <t>Reddito mensile totale attuale:</t>
  </si>
  <si>
    <t>Totaal  gezamenlijke maandinkomsten wanneer je bedrijf is opgestart:</t>
  </si>
  <si>
    <t>Total combined monthly income once you've started up your business:</t>
  </si>
  <si>
    <t>Total de ingresos mensuales en conjunto una vez hayas iniciado tu negocio:</t>
  </si>
  <si>
    <t>Reddito mensile totale dopo che avrai avviato la tua azienda:</t>
  </si>
  <si>
    <t>Privé-uitgaven (maandelijks)</t>
  </si>
  <si>
    <t>Personal expenses (monthly)</t>
  </si>
  <si>
    <t>Gastos personales (mensuales)</t>
  </si>
  <si>
    <t>Spese private (mensili)</t>
  </si>
  <si>
    <t>Hoeveel geef je maandelijks uit in privé?</t>
  </si>
  <si>
    <t>How much are your personal expenses every month?</t>
  </si>
  <si>
    <t>¿A cuánto ascienden tus gastos mensualmente?</t>
  </si>
  <si>
    <t>Qual è l’importo delle tue spese private mensili?</t>
  </si>
  <si>
    <t>Huur woonhuis</t>
  </si>
  <si>
    <t>Rent for the residence</t>
  </si>
  <si>
    <t>Alquiler de la vivienda</t>
  </si>
  <si>
    <t>Aflossing en rente hypotheek (netto)</t>
  </si>
  <si>
    <t>Repayment and interest on mortgage (net)</t>
  </si>
  <si>
    <t xml:space="preserve">Importe mensual de la hipoteca </t>
  </si>
  <si>
    <t>Rata del mutuo (capitale ed interessi)</t>
  </si>
  <si>
    <t>Gas, water en elektriciteit</t>
  </si>
  <si>
    <t>Water, gas and electricity</t>
  </si>
  <si>
    <t>Agua, gas y electricidad</t>
  </si>
  <si>
    <t>Duurzame consumptiegoederen</t>
  </si>
  <si>
    <t>Consumer durables</t>
  </si>
  <si>
    <t>Bienes de consumo duraderos</t>
  </si>
  <si>
    <t>Beni di consumo durevoli (mobili, arredi, ecc…)</t>
  </si>
  <si>
    <t>Ziektekostenverzekering</t>
  </si>
  <si>
    <t>Health insurance</t>
  </si>
  <si>
    <t>Seguro de salud</t>
  </si>
  <si>
    <t>Overige verzekeringen (inboedel, WA, ed.)</t>
  </si>
  <si>
    <t>Other insurance (contents, liability etc.)</t>
  </si>
  <si>
    <t>Otros seguros (hogar, responsabilidad civil, vida, etc.)</t>
  </si>
  <si>
    <t>Vervoer(brandstof, onderhoud, abonnement)</t>
  </si>
  <si>
    <t>Transport (fuel, maintenance, season tickets)</t>
  </si>
  <si>
    <t>Transporte (gasolina, mantenimiento, abono transporte público, seguro, etc.)</t>
  </si>
  <si>
    <t>Trasporti (carburante, manutenzioni, abbonamenti ai mezzi pubblici)</t>
  </si>
  <si>
    <t>Huishoudelijke uitgaven (voeding/kleding/sport)</t>
  </si>
  <si>
    <t>Household expenses (food / clothing / sports)</t>
  </si>
  <si>
    <t>Gastos del hogar (comida, ropa, gimnasio, etc.)</t>
  </si>
  <si>
    <t>Spese domestiche (alimentari/abbigliamento/pulizie)</t>
  </si>
  <si>
    <t>Vakantie en recreatie</t>
  </si>
  <si>
    <t>Holiday and recreation</t>
  </si>
  <si>
    <t>Vacaciones y ocio</t>
  </si>
  <si>
    <t>Vacanze e tempo libero</t>
  </si>
  <si>
    <t>Opleiding, studiekosten en opvang kinderen</t>
  </si>
  <si>
    <t>Education, study costs and care of children</t>
  </si>
  <si>
    <t>Educación, gastos escolares, actividades extraescolares,material, etc.</t>
  </si>
  <si>
    <t>Aflossing en rente privé-lening (geen hypotheek)</t>
  </si>
  <si>
    <t>Repayment and interest on personal loan (no mortgage)</t>
  </si>
  <si>
    <t>Cuotas de préstamos personales (no hipoteca)</t>
  </si>
  <si>
    <t>Rate mensili per rimborso altri prestiti (diversi dal mutuo)</t>
  </si>
  <si>
    <t>Overige privé-uitgaven</t>
  </si>
  <si>
    <t>Other personal expenses</t>
  </si>
  <si>
    <t>Otros gastos personales</t>
  </si>
  <si>
    <t>Altre spese private</t>
  </si>
  <si>
    <t>Dit bedrag kan je maandelijks nog sparen voordat je met je bedrijf gaat starten:</t>
  </si>
  <si>
    <t>You can still save this amount each month before you start your business:</t>
  </si>
  <si>
    <t>Total que puedes ahorrar mensualmente antes de empezar con tu negocio:</t>
  </si>
  <si>
    <t>Prima di avviare la tua azienda, puoi risparmiare questo importo mensile:</t>
  </si>
  <si>
    <t>Dit bedrag moet je maandelijks uit je onderneming halen als je bent gestart:</t>
  </si>
  <si>
    <t>This is the amount you will take out of your company each month once you've started:</t>
  </si>
  <si>
    <t>Importe que tienes que recibir mensualmente de tu empresa para cubrir tus gastos personales, cuando hayas empezado tu negocio:</t>
  </si>
  <si>
    <t>¿Qué salario te asignarás como socio emprendedor?</t>
  </si>
  <si>
    <t>Qual è lo stipendio che riceverai mensilmente dall'azienda?</t>
  </si>
  <si>
    <t>ALS('Le mie risposte'!$D$4=dropdowns!$B$177;"Qual è lo stipendio che riceverai mensilmente dall'azienda?";"")</t>
  </si>
  <si>
    <t>Privé: Eigen geld, bezittingen en schulden</t>
  </si>
  <si>
    <t>Private: Own money, assets and debts</t>
  </si>
  <si>
    <t>Ahorros, propiedades y deudas</t>
  </si>
  <si>
    <t>Capitale proprio, proprietà e debiti</t>
  </si>
  <si>
    <t>Heb je een koopwoning?</t>
  </si>
  <si>
    <t>Do you own your house?</t>
  </si>
  <si>
    <t>¿Es propietario de su vivienda?</t>
  </si>
  <si>
    <t>Hai un’abitazione di proprietà?</t>
  </si>
  <si>
    <t>Wat is de WOZ waarde van je woning?</t>
  </si>
  <si>
    <t>What is the WOZ valuation of the house (for tax purposes)?</t>
  </si>
  <si>
    <t>¿En caso afirmativo, cuál es el valor del inmueble?</t>
  </si>
  <si>
    <t>Qual è il valore della tua abitazione?</t>
  </si>
  <si>
    <t>Wat is de hoogte van je hypotheek?</t>
  </si>
  <si>
    <t>How much is the mortgage?</t>
  </si>
  <si>
    <t>¿A cuánto asciende tu hipoteca?</t>
  </si>
  <si>
    <t>Qual è il debito residuo del tuo mutuo?</t>
  </si>
  <si>
    <t>Als je (naast je hypotheek) nog andere schulden hebt, hoe hoog zijn deze schulden?</t>
  </si>
  <si>
    <t>If you have any other debts (in addition to your mortgage), how much are these debts?</t>
  </si>
  <si>
    <t>Si tienes algún otro tipo de deudas (además de la hipoteca), ¿a cuánto asciende el importe pendiente total a fecha de hoy?</t>
  </si>
  <si>
    <t>Se hai altri debiti (oltre al mutuo), qual è il debito residuo</t>
  </si>
  <si>
    <t xml:space="preserve">Hoeveel spaargeld heb je op dit moment? </t>
  </si>
  <si>
    <t xml:space="preserve">How much do you currently have in savings? </t>
  </si>
  <si>
    <t xml:space="preserve">¿A cuánto ascienden tus ahorros? </t>
  </si>
  <si>
    <t xml:space="preserve">Quanti risparmi hai attualmente? </t>
  </si>
  <si>
    <t>Welk bedrag heb je gespaard voor de start van jouw bedrijf?</t>
  </si>
  <si>
    <t>What amount will you have saved up before you start your business?</t>
  </si>
  <si>
    <t>¿Qué cantidad has ahorrado para comenzar tu negocio?</t>
  </si>
  <si>
    <t>Quale importo hai risparmiato prima di avviare la tua azienda?</t>
  </si>
  <si>
    <t>Als je nog ander vermogen hebt, zoals aandelen of vastgoed, wat is de waarde hiervan?</t>
  </si>
  <si>
    <t>If you have any other assets, such as stocks or real estate, what is the value of these assets?</t>
  </si>
  <si>
    <t>Si tienes algún otro tipo de activos como acciones o inmuebles, ¿cuál es el valor de esos activos?</t>
  </si>
  <si>
    <t>Se hai altri capitali, come azioni o immobili, qual è il loro valore?</t>
  </si>
  <si>
    <t>Investeringen (voor langere periode)</t>
  </si>
  <si>
    <t>Investments (on the longer term)</t>
  </si>
  <si>
    <t>Inversiones a largo plazo</t>
  </si>
  <si>
    <t xml:space="preserve">Wat heb je nodig om te kunnen starten met je bedrijf?  </t>
  </si>
  <si>
    <t xml:space="preserve">What do you need to start your company?  </t>
  </si>
  <si>
    <t>¿Qué necesitas para empezar con tu negocio? (Indicar importe sin IVA)</t>
  </si>
  <si>
    <t xml:space="preserve">Che cosa ti occorre per poter avviare la tua azienda?  </t>
  </si>
  <si>
    <t>Aankoop onroerend goed</t>
  </si>
  <si>
    <t>Buying estate</t>
  </si>
  <si>
    <t>Mobiliario e instalaciones</t>
  </si>
  <si>
    <t>Acquisto di un bene immobile (es. Negozio, laboratorio, ufficio ...)</t>
  </si>
  <si>
    <t>Verbouwing</t>
  </si>
  <si>
    <t>Renovation</t>
  </si>
  <si>
    <t>Obras</t>
  </si>
  <si>
    <t>Costi di ristrutturazione</t>
  </si>
  <si>
    <t>Inventaris</t>
  </si>
  <si>
    <t>Inventory</t>
  </si>
  <si>
    <t>Herramientas y utillaje</t>
  </si>
  <si>
    <t>Mobili e arredi</t>
  </si>
  <si>
    <t>Machine</t>
  </si>
  <si>
    <t>Machinery</t>
  </si>
  <si>
    <t>Maquinaria</t>
  </si>
  <si>
    <t>Macchinari</t>
  </si>
  <si>
    <t>Computer en/of software</t>
  </si>
  <si>
    <t>Computer and/or software</t>
  </si>
  <si>
    <t>Equipos informáticos y/o software</t>
  </si>
  <si>
    <t>Computer e/o software</t>
  </si>
  <si>
    <t>Transportmiddel</t>
  </si>
  <si>
    <t>Means of transportation</t>
  </si>
  <si>
    <t>Medios de transporte</t>
  </si>
  <si>
    <t>Mezzi di trasporto</t>
  </si>
  <si>
    <t>Startvoorraad product 1</t>
  </si>
  <si>
    <t>Start-up stock product 1</t>
  </si>
  <si>
    <t>Existencias iniciales línea de producto 1</t>
  </si>
  <si>
    <t>Scorte iniziali del prodotto 1</t>
  </si>
  <si>
    <t>Startvoorraad product 2</t>
  </si>
  <si>
    <t>Start-up stock product 2</t>
  </si>
  <si>
    <t>Existencias iniciales línea de producto 2</t>
  </si>
  <si>
    <t>Scorte iniziali del prodotto 2</t>
  </si>
  <si>
    <t>Huurgarantie</t>
  </si>
  <si>
    <t>Rental guarantee</t>
  </si>
  <si>
    <t>Fianza del alquiler</t>
  </si>
  <si>
    <t>Cauzione per la locazione</t>
  </si>
  <si>
    <t>Franchisefee</t>
  </si>
  <si>
    <t>Franchise fee</t>
  </si>
  <si>
    <t>Importe de la franquicia</t>
  </si>
  <si>
    <t>Commissioni di Franchising</t>
  </si>
  <si>
    <t>Goodwill</t>
  </si>
  <si>
    <t>Importe del traspaso</t>
  </si>
  <si>
    <t>Avviamento</t>
  </si>
  <si>
    <t>Promotiekosten</t>
  </si>
  <si>
    <t>Promotion and start-up costs and bridging period</t>
  </si>
  <si>
    <t>Gastos iniciales de puesta en marcha</t>
  </si>
  <si>
    <t>Costi promozionali per avvio impresa e Spese di costituzione (es. iscrizione camera di commercio, apertura P.IVA, atto costitutivo, consulenze legali/notarili/fiscali,...)</t>
  </si>
  <si>
    <t>BTW over investeringen</t>
  </si>
  <si>
    <t>BTW on purchasing / costs</t>
  </si>
  <si>
    <t>IVA sobre inversiones (Importe orientativo calculado al 21%)</t>
  </si>
  <si>
    <t>IVA sugli investimenti</t>
  </si>
  <si>
    <t>Overbrugging, aanloopkosten en overig/onvoorzien</t>
  </si>
  <si>
    <t>Other / unforeseen</t>
  </si>
  <si>
    <t>Otros gastos + tesorería inicial (caja)</t>
  </si>
  <si>
    <t>Financieringen</t>
  </si>
  <si>
    <t>Financing</t>
  </si>
  <si>
    <t>Financiación</t>
  </si>
  <si>
    <t>Finanziamenti</t>
  </si>
  <si>
    <t>Hoeveel (spaar)geld ga je zelf inbrengen?</t>
  </si>
  <si>
    <t>How much of your own money (savings) will you invest?</t>
  </si>
  <si>
    <t>¿Cuánto dinero propio (ahorros) podrás aportar en el proyecto?</t>
  </si>
  <si>
    <t>Quale importo (risparmi) apporterai all’impresa?</t>
  </si>
  <si>
    <t>Hoeveel geld heb je geleend en/of ga je lenen bij familie/bekenden?</t>
  </si>
  <si>
    <t>How much money have you borrowed and/or will you borrow from family/friends?</t>
  </si>
  <si>
    <t>¿Cuánto dinero has pedido prestado y/o pedirás prestado a familiares/amigos?</t>
  </si>
  <si>
    <t>Qual è l’importo dei prestiti che hai ricevuto e/o riceverai da familiari/conoscenti?</t>
  </si>
  <si>
    <t xml:space="preserve">Hoeveel geld komt via overige financieringsbronnen? </t>
  </si>
  <si>
    <t xml:space="preserve">How much money comes from other sources of finance? </t>
  </si>
  <si>
    <t xml:space="preserve">¿Cuánto dinero recibirás de otras fuentes de financiación? </t>
  </si>
  <si>
    <t xml:space="preserve">Qual è l’importo proveniente da altre fonti di finanziamento? </t>
  </si>
  <si>
    <t>Maandelijkse indirecte kosten</t>
  </si>
  <si>
    <t>Monthly indirect costs</t>
  </si>
  <si>
    <t>Gastos indirectos mensuales</t>
  </si>
  <si>
    <t>Hoe hoog zijn de maandelijkse kosten?</t>
  </si>
  <si>
    <t>What is the extent of the monthly costs?</t>
  </si>
  <si>
    <t>¿A cuánto ascienden los gastos mensuales?</t>
  </si>
  <si>
    <t>Qual è l’importo dei costi mensili?</t>
  </si>
  <si>
    <t>Personeel (let op: bruto personeelslasten, dus inclusief premies en belastingen)</t>
  </si>
  <si>
    <t>Personnel (please note: gross personnel costs, meaning including premiums and taxes)</t>
  </si>
  <si>
    <t>Salario Bruto Empleados (incluyendo tanto Seguridad Social como Irpf)</t>
  </si>
  <si>
    <t>Huisvesting (huur, schoonmaak, onderhoud)</t>
  </si>
  <si>
    <t>Accommodation (rent, cleaning, maintenance)</t>
  </si>
  <si>
    <t>Local comercial (alquiler, limpieza, mantenimiento, etc.)</t>
  </si>
  <si>
    <t>Spese per ufficio/Negozio/laboratorio/Magazzino (affitto, pulizie, manutenzione)</t>
  </si>
  <si>
    <t>Vervoer/verblijf (brandstof, onderhoud, parkeren, verzekeringen)</t>
  </si>
  <si>
    <t>Transport/accommodation (fuel, maintenance, parking, insurance)</t>
  </si>
  <si>
    <t>Transporte/dietas (gasolina, mantenimiento, parking, seguros, impuestos, etc.)</t>
  </si>
  <si>
    <t>Spese viaggio/ pasti/ pernottamenti (carburante, manutenzione, parcheggi, assicurazioni, ristoranti, alberghi)</t>
  </si>
  <si>
    <t>Promotie/reclame (onderhoudskosten website, domeinnaam, google adwords)</t>
  </si>
  <si>
    <t>Promotion/publicity (website maintenance, domain name, Google adwords)</t>
  </si>
  <si>
    <t>Promoción/publicidad (mantenimiento de la página web, dominio, Google AdWords, etc.)</t>
  </si>
  <si>
    <t>Promozione/pubblicità (costi di manutenzione del sito web, nome di dominio, google adwords)</t>
  </si>
  <si>
    <t>Overige bedrijfskosten:</t>
  </si>
  <si>
    <t>Other operating costs:</t>
  </si>
  <si>
    <t>Otros gastos de la empresa:</t>
  </si>
  <si>
    <t>Altri costi aziendali:</t>
  </si>
  <si>
    <t xml:space="preserve">  - Verzekeringen (aansprakelijkheid, arbeidsongeschiktheid, inboedel)</t>
  </si>
  <si>
    <t xml:space="preserve">  - Insurance (liability, disability, contents)</t>
  </si>
  <si>
    <t xml:space="preserve">  - Seguros (responsabilidad civil, por discapacidad, etc.- Prima anual/12)</t>
  </si>
  <si>
    <t xml:space="preserve">  - Assicurazioni (responsabilità, non idoneità al lavoro, effetti personali)</t>
  </si>
  <si>
    <t xml:space="preserve">  - Administratiekosten (accountant, adviseur, boekhoudpakket)</t>
  </si>
  <si>
    <t xml:space="preserve">  - Administration costs (accountant, consultant, accounting package)</t>
  </si>
  <si>
    <t xml:space="preserve">  - Gastos de administración (gestoría, consultoría, software de contabilidad, etc.)</t>
  </si>
  <si>
    <t xml:space="preserve">  - Costi amministrativi (commercialista, consulente, contabilità)</t>
  </si>
  <si>
    <t xml:space="preserve">  - Abonnementen (telefoon, internet, vakbladen, brancheverenigingen, kvk, accountant, adviseur)</t>
  </si>
  <si>
    <t xml:space="preserve">  - Subscriptions (telephone, internet, trade journals, industry associations, Chamber of Commerce, accountant, consultant etc.)</t>
  </si>
  <si>
    <t xml:space="preserve">  - Suministros y cuotas (teléfono, Internet, agua, luz, revistas y asociaciones sectoriales, etc.)</t>
  </si>
  <si>
    <t xml:space="preserve">  - Abbonamenti/canoni/utenze/quote associative (es. telefono,  internet,  riviste specializzate, CCIAA....)</t>
  </si>
  <si>
    <t xml:space="preserve">  - Kantoorartikelen ((brief-)papier, cartridges, postzegels)</t>
  </si>
  <si>
    <t xml:space="preserve">  - Office supplies (stationery, paper, cartridges, stamps etc.)</t>
  </si>
  <si>
    <t xml:space="preserve">  - Material de oficina (papelería, cartuchos, sellos, etc.)</t>
  </si>
  <si>
    <t xml:space="preserve">  - Materiale da ufficio (cancelleria e stampati, materiale di consumo)</t>
  </si>
  <si>
    <t xml:space="preserve">  - Overig</t>
  </si>
  <si>
    <t xml:space="preserve">  - Other</t>
  </si>
  <si>
    <t xml:space="preserve">  - Otros</t>
  </si>
  <si>
    <t xml:space="preserve">  - Varie</t>
  </si>
  <si>
    <t>Maandelijkse directe kosten</t>
  </si>
  <si>
    <t>Monthly direct costs</t>
  </si>
  <si>
    <t>Gastos directos mensuales</t>
  </si>
  <si>
    <t>Costi diretti mensili</t>
  </si>
  <si>
    <t>Koop je producten in die je, eventueel na bewerking, weer verkoopt?</t>
  </si>
  <si>
    <t>Do you purchase products which you resell, possibly after processing?</t>
  </si>
  <si>
    <t>¿Compras productos para después venderlos? (Incluyendo Materia prima para ser procesada)</t>
  </si>
  <si>
    <t>Acquisti dei materie prime, semilavorati, prodotti finiti che rivendi, eventualmente dopo averli lavorati?</t>
  </si>
  <si>
    <t>Inkomsten</t>
  </si>
  <si>
    <t>Income</t>
  </si>
  <si>
    <t>Ingresos</t>
  </si>
  <si>
    <t>Ricavi</t>
  </si>
  <si>
    <t>Welk BTW tarief is van toepassing op de verkoopprijs?</t>
  </si>
  <si>
    <t>What BTW rate applies to the sales price?</t>
  </si>
  <si>
    <t>¿Qué porcentaje de IVA se aplica al precio de venta?</t>
  </si>
  <si>
    <t>Quale aliquota IVA si applica al prezzo di vendita?</t>
  </si>
  <si>
    <t>Wanneer betalen je klanten in het algemeen?</t>
  </si>
  <si>
    <t>In general, when do customers pay you?</t>
  </si>
  <si>
    <t>¿Cuál es la previsión de cobro de tus clientes (contado, 30 días, etc.)?</t>
  </si>
  <si>
    <t>Entro quando pagano i tuoi clienti in generale?</t>
  </si>
  <si>
    <t>Omzetprognose</t>
  </si>
  <si>
    <t>Sales forecast</t>
  </si>
  <si>
    <t>Previsión de ventas</t>
  </si>
  <si>
    <t>Fatturato previsto</t>
  </si>
  <si>
    <t>Hoeveel omzet verwacht je per maand te realiseren?</t>
  </si>
  <si>
    <t>What is the monthly revenue you expect to realise?</t>
  </si>
  <si>
    <t>¿Cuánto esperas facturar cada mes?</t>
  </si>
  <si>
    <t>Qual è il fatturato mensile previsto?</t>
  </si>
  <si>
    <t>Month 1</t>
  </si>
  <si>
    <t>Mes 1</t>
  </si>
  <si>
    <t>Mese 1</t>
  </si>
  <si>
    <t>Month 2</t>
  </si>
  <si>
    <t>Mes 2</t>
  </si>
  <si>
    <t>Mese 2</t>
  </si>
  <si>
    <t>Month 3</t>
  </si>
  <si>
    <t>Mes 3</t>
  </si>
  <si>
    <t>Mese 3</t>
  </si>
  <si>
    <t>Month 4</t>
  </si>
  <si>
    <t>Mes 4</t>
  </si>
  <si>
    <t>Mese 4</t>
  </si>
  <si>
    <t>Month 5</t>
  </si>
  <si>
    <t>Mes 5</t>
  </si>
  <si>
    <t>Mese 5</t>
  </si>
  <si>
    <t>Month 6</t>
  </si>
  <si>
    <t>Mes 6</t>
  </si>
  <si>
    <t>Mese 6</t>
  </si>
  <si>
    <t>Month 7</t>
  </si>
  <si>
    <t>Mes 7</t>
  </si>
  <si>
    <t>Mese 7</t>
  </si>
  <si>
    <t>Month 8</t>
  </si>
  <si>
    <t>Mes 8</t>
  </si>
  <si>
    <t>Mese 8</t>
  </si>
  <si>
    <t>Month 9</t>
  </si>
  <si>
    <t>Mes 9</t>
  </si>
  <si>
    <t>Mese 9</t>
  </si>
  <si>
    <t>Month 10</t>
  </si>
  <si>
    <t>Mes 10</t>
  </si>
  <si>
    <t>Mese 10</t>
  </si>
  <si>
    <t>Month 11</t>
  </si>
  <si>
    <t>Mes 11</t>
  </si>
  <si>
    <t>Mese 11</t>
  </si>
  <si>
    <t>Month 12</t>
  </si>
  <si>
    <t>Mes 12</t>
  </si>
  <si>
    <t>Mese 12</t>
  </si>
  <si>
    <t>Mag je ter vermindering van je belastbaar inkomen de onderstaande aftrekposten opvoeren?</t>
  </si>
  <si>
    <t>Are you able to claim the following deductions from your taxable income?</t>
  </si>
  <si>
    <t>¿Podrías deducirte de tu base imponible los siguientes elementos?</t>
  </si>
  <si>
    <t>Puoi applicare le seguenti detrazioni dal tuo reddito imponibile?</t>
  </si>
  <si>
    <t>Zelfstandigenaftrek</t>
  </si>
  <si>
    <t>Deducción cuota de autónomo</t>
  </si>
  <si>
    <t>Detrazione per lavoratore autonomo</t>
  </si>
  <si>
    <t>Startersaftrek</t>
  </si>
  <si>
    <t>Deducción fondo de comercio (amortización del traspaso)</t>
  </si>
  <si>
    <t>Detrazione per avviamento</t>
  </si>
  <si>
    <t>Meewerkaftrek</t>
  </si>
  <si>
    <t>Detrazione per collaborazione</t>
  </si>
  <si>
    <t>MKB-Winstvrijstelling</t>
  </si>
  <si>
    <t>Deducciones para PYMES</t>
  </si>
  <si>
    <t>Esenzione per PMI</t>
  </si>
  <si>
    <t>Investeringsaftrek</t>
  </si>
  <si>
    <t>Deducción de las inversiones</t>
  </si>
  <si>
    <t>Detrazione di investimento</t>
  </si>
  <si>
    <t>Oudedagsreserve</t>
  </si>
  <si>
    <t>Aportación al plan de pensiones</t>
  </si>
  <si>
    <t>Accantonamento per la pensione</t>
  </si>
  <si>
    <t>Algemene heffingskorting</t>
  </si>
  <si>
    <t>Bonificación/desgravación fiscal</t>
  </si>
  <si>
    <t>Riduzione generale di imposta</t>
  </si>
  <si>
    <t>Arbeidskorting</t>
  </si>
  <si>
    <t>Credito di imposta per reddito da lavoro</t>
  </si>
  <si>
    <t>selecteer:</t>
  </si>
  <si>
    <t>Inserisci:</t>
  </si>
  <si>
    <t>Total:</t>
  </si>
  <si>
    <t>Investering &amp; Financiering</t>
  </si>
  <si>
    <t>Investment and Financing</t>
  </si>
  <si>
    <t>Plan de inversión y financiación</t>
  </si>
  <si>
    <t>Investimento e finanziamento</t>
  </si>
  <si>
    <t xml:space="preserve">Investerings- &amp; Financieringsbegroting </t>
  </si>
  <si>
    <t xml:space="preserve">Investment and Financing budget </t>
  </si>
  <si>
    <t xml:space="preserve">Previsione di investimento e finanziamento </t>
  </si>
  <si>
    <t>Vaste activa (excl. BTW)</t>
  </si>
  <si>
    <t>Fixed assets (excluding BTW)</t>
  </si>
  <si>
    <t>Activos fijos (sin IVA)</t>
  </si>
  <si>
    <t>Compra de inmuebles</t>
  </si>
  <si>
    <t>Acquisto di un bene immobile</t>
  </si>
  <si>
    <t xml:space="preserve">Verbouwing </t>
  </si>
  <si>
    <t xml:space="preserve">Renovation </t>
  </si>
  <si>
    <t>Construcciones</t>
  </si>
  <si>
    <t xml:space="preserve">Ristrutturazione </t>
  </si>
  <si>
    <t>Inventaris en inrichting</t>
  </si>
  <si>
    <t>Inventory and fixtures</t>
  </si>
  <si>
    <t>Inventario y accesorios</t>
  </si>
  <si>
    <t>Computer en software</t>
  </si>
  <si>
    <t>Computer and software</t>
  </si>
  <si>
    <t>Equipos informáticos y software</t>
  </si>
  <si>
    <t>Goodwill/Franchisefee/Huurgarantie</t>
  </si>
  <si>
    <t>Goodwill / Franchise Fee / Rental Guarantee</t>
  </si>
  <si>
    <t>Fianza, traspaso y/o franquicia</t>
  </si>
  <si>
    <t>Cauzione per la locazione/Avviamento/Commissioni di franchising</t>
  </si>
  <si>
    <t>Vlottende activa (excl. BTW)</t>
  </si>
  <si>
    <t>Current assets (excluding BTW)</t>
  </si>
  <si>
    <t>Activos corrientes (sin IVA)</t>
  </si>
  <si>
    <t>Startvoorraad</t>
  </si>
  <si>
    <t>Start-up stock</t>
  </si>
  <si>
    <t>Existencias iniciales</t>
  </si>
  <si>
    <t>Giacenze iniziali prodotto 1 e 2</t>
  </si>
  <si>
    <t>Promotie-, aanloopkosten</t>
  </si>
  <si>
    <t>Promotion and start-up costs</t>
  </si>
  <si>
    <t>Costi promozionali per avvio impresa e Spese di costituzione</t>
  </si>
  <si>
    <t>IVA soportado</t>
  </si>
  <si>
    <t>Kas (reserve)</t>
  </si>
  <si>
    <t>Cash (reserve)</t>
  </si>
  <si>
    <t>Caja y bancos</t>
  </si>
  <si>
    <t>Cassa (riserve)</t>
  </si>
  <si>
    <t>Totaal investeringsbedrag</t>
  </si>
  <si>
    <t>Total investment amount</t>
  </si>
  <si>
    <t>Importe total de la inversión</t>
  </si>
  <si>
    <t>Importo totale dell’investimento</t>
  </si>
  <si>
    <t>In bezit</t>
  </si>
  <si>
    <t>Owned</t>
  </si>
  <si>
    <t>Recursos propios</t>
  </si>
  <si>
    <t>Di proprietà</t>
  </si>
  <si>
    <t>Investeren</t>
  </si>
  <si>
    <t>To be invested</t>
  </si>
  <si>
    <t>Nec. de inversión</t>
  </si>
  <si>
    <t xml:space="preserve">Totale da investire </t>
  </si>
  <si>
    <t>Totaal</t>
  </si>
  <si>
    <t>Totale</t>
  </si>
  <si>
    <t>Eigen inbreng</t>
  </si>
  <si>
    <t>Own contribution</t>
  </si>
  <si>
    <t>Aportaciones propias</t>
  </si>
  <si>
    <t>Apporto personale</t>
  </si>
  <si>
    <t>Activa in bezit</t>
  </si>
  <si>
    <t>Assets held</t>
  </si>
  <si>
    <t>Activos en propiedad</t>
  </si>
  <si>
    <t>Attivi di proprietà</t>
  </si>
  <si>
    <t>Contante inbreng (bv. spaargeld)</t>
  </si>
  <si>
    <t>Cash contribution (e.g. savings)</t>
  </si>
  <si>
    <t>Contribución en efectivo (p. ej., ahorros)</t>
  </si>
  <si>
    <t>Apporto in contanti (ad es. risparmi)</t>
  </si>
  <si>
    <t>Achtergestelde leningen (familie/vrienden)</t>
  </si>
  <si>
    <t>Subordinated loans (family / friends)</t>
  </si>
  <si>
    <t>Préstamos/ayudas de familiares/amigos</t>
  </si>
  <si>
    <t>Altri prestiti ricevuti da familiari/amici</t>
  </si>
  <si>
    <t>Totaal eigen vermogen</t>
  </si>
  <si>
    <t>Total equity</t>
  </si>
  <si>
    <t>Total aportaciones propias</t>
  </si>
  <si>
    <t>Capitale proprio totale</t>
  </si>
  <si>
    <t>Financiering</t>
  </si>
  <si>
    <t>Finanziamento</t>
  </si>
  <si>
    <t>Financiering overig</t>
  </si>
  <si>
    <t>Other funding</t>
  </si>
  <si>
    <t>Otros préstamos</t>
  </si>
  <si>
    <t>Altri finanziamenti</t>
  </si>
  <si>
    <t>Financiering kredietverstrekker</t>
  </si>
  <si>
    <t>Financing by lender</t>
  </si>
  <si>
    <t>Préstamo Oportunitas</t>
  </si>
  <si>
    <t>Concessore del finanziamento</t>
  </si>
  <si>
    <t>Totaal vreemd vermogen</t>
  </si>
  <si>
    <t>Total loan capital</t>
  </si>
  <si>
    <t>Endeudamiento total</t>
  </si>
  <si>
    <t>Finanziamento totale per indebitamento</t>
  </si>
  <si>
    <t>Lening Qredits</t>
  </si>
  <si>
    <t>Loan Qredits</t>
  </si>
  <si>
    <t>Préstamo de Oportunitas</t>
  </si>
  <si>
    <t xml:space="preserve">Finanziamento: </t>
  </si>
  <si>
    <t>Vul in in hoeveel jaar je de lening wilt terugbetalen:</t>
  </si>
  <si>
    <t>Enter the number of years in which you would like to repay the loan</t>
  </si>
  <si>
    <t>Indica el número de meses en los que deseas pagar el préstamo (máximo 48):</t>
  </si>
  <si>
    <t>Inserisci qui il numero di anni in cui intendi restituire il prestito:</t>
  </si>
  <si>
    <t>Vul in na hoeveel maanden je wilt beginnen met aflossen?</t>
  </si>
  <si>
    <t>Enter after how many months you would like to start paying off the loan</t>
  </si>
  <si>
    <t>Indica cuántos meses de carencia inicial necesitarás (será el período durante el cual solo tendrás que hacer frente al pago de intereses y no de capital)</t>
  </si>
  <si>
    <t>Indica qui dopo quanti mesi inizia la restituzione del finanziamento (Preammortamento)</t>
  </si>
  <si>
    <t>Kies de manier van aflossen:</t>
  </si>
  <si>
    <t>Choose the amortization profile:</t>
  </si>
  <si>
    <t>Sistema de amortización:</t>
  </si>
  <si>
    <t>Scegli il metodo di restituzione:</t>
  </si>
  <si>
    <t>Select:</t>
  </si>
  <si>
    <t xml:space="preserve">  jaren</t>
  </si>
  <si>
    <t xml:space="preserve">  years</t>
  </si>
  <si>
    <t xml:space="preserve">  meses</t>
  </si>
  <si>
    <t xml:space="preserve">  mensile</t>
  </si>
  <si>
    <t xml:space="preserve">  maanden</t>
  </si>
  <si>
    <t xml:space="preserve">  months</t>
  </si>
  <si>
    <t xml:space="preserve">Importo della quota capitale </t>
  </si>
  <si>
    <t>Voorwaarden (indicatie)</t>
  </si>
  <si>
    <t>Conditions (indication)</t>
  </si>
  <si>
    <t>Condiciones (orientativas)</t>
  </si>
  <si>
    <t>Condizioni (indicative)</t>
  </si>
  <si>
    <t>Rentepercentage²</t>
  </si>
  <si>
    <t>Interest rate²</t>
  </si>
  <si>
    <t>Tipo de interés²</t>
  </si>
  <si>
    <t>Tasso di interesse</t>
  </si>
  <si>
    <t>Behandelkosten</t>
  </si>
  <si>
    <t>Formalisation fee</t>
  </si>
  <si>
    <t>Comisión de apertura</t>
  </si>
  <si>
    <t>Spese di istruttoria</t>
  </si>
  <si>
    <t>Effectieve rente²</t>
  </si>
  <si>
    <t>Effective interest rate²</t>
  </si>
  <si>
    <t>Tasa de interés efectivo²</t>
  </si>
  <si>
    <t>Interessi effettivi</t>
  </si>
  <si>
    <t>Maandlasten³</t>
  </si>
  <si>
    <t>Monthly costs³</t>
  </si>
  <si>
    <t>Cuota mensual³</t>
  </si>
  <si>
    <t>Oneri mensili²</t>
  </si>
  <si>
    <t>Bedrag annuïteit</t>
  </si>
  <si>
    <t>Redemption and interest amount per month</t>
  </si>
  <si>
    <t>Capital amortizado e intereses mensuales</t>
  </si>
  <si>
    <t>Rata mensile (Capitale e interessi)</t>
  </si>
  <si>
    <t>² Onder voorbehoud van wijzigingen, kijk voor meer informatie op www.qredits.nl</t>
  </si>
  <si>
    <t>² Subject to change, for more information, visit www.qredits.nl</t>
  </si>
  <si>
    <t>² Sujeto a cambios. Para más información, ir a www.oportunitasimf.org</t>
  </si>
  <si>
    <t>² Con riserva di modifiche; per ulteriori informazioni, fai clic su www.uniCredit.it</t>
  </si>
  <si>
    <t>³ Specificatie in 'Qredits maandlasten'</t>
  </si>
  <si>
    <t>³ Specification in 'Qredits monthly costs’</t>
  </si>
  <si>
    <t>³ Ver detalle en la pestaña "Cuadro de amortización Oportunitas"</t>
  </si>
  <si>
    <t>² Specifica in 'Oneri mensili'</t>
  </si>
  <si>
    <t>wat is dit?</t>
  </si>
  <si>
    <t>Frequently asked questions!?</t>
  </si>
  <si>
    <t>Preguntas frecuentes</t>
  </si>
  <si>
    <t>Domande ricorrenti</t>
  </si>
  <si>
    <t>Klik hier om VRAGENLIJST in te vullen</t>
  </si>
  <si>
    <t>Click here to return to the tab page Introduction</t>
  </si>
  <si>
    <t>Haz clic aquí para volver a la pestaña "Cuestionario"</t>
  </si>
  <si>
    <t>Fai clic qui per compilare il QUESTIONARIO</t>
  </si>
  <si>
    <t>Liquiditeit</t>
  </si>
  <si>
    <t>Liquid Asset</t>
  </si>
  <si>
    <t>Previsión de ingresos y gastos - Tesorería</t>
  </si>
  <si>
    <t>Liquidità</t>
  </si>
  <si>
    <t>Liquiditeitsbegroting</t>
  </si>
  <si>
    <t>Cash flow budget</t>
  </si>
  <si>
    <t>Previsione di liquidità</t>
  </si>
  <si>
    <t>Maand</t>
  </si>
  <si>
    <t>Month</t>
  </si>
  <si>
    <t>Mes</t>
  </si>
  <si>
    <t>Mensile</t>
  </si>
  <si>
    <t>Opening kas/bank</t>
  </si>
  <si>
    <t>Opening cash / bank</t>
  </si>
  <si>
    <t>Saldo inicial caja/banco</t>
  </si>
  <si>
    <t>Saldo iniziale cassa/Banca</t>
  </si>
  <si>
    <t>Ontvangsten</t>
  </si>
  <si>
    <t>Revenue</t>
  </si>
  <si>
    <t xml:space="preserve"> Lening Qredits</t>
  </si>
  <si>
    <t xml:space="preserve"> Loan Qredits</t>
  </si>
  <si>
    <t xml:space="preserve"> Préstamo de Oportunitas</t>
  </si>
  <si>
    <t xml:space="preserve"> Finanziamento</t>
  </si>
  <si>
    <t xml:space="preserve"> Eigen inbreng in contant</t>
  </si>
  <si>
    <t xml:space="preserve"> Own cash contribution</t>
  </si>
  <si>
    <t>Aportaciones propias en efectivo</t>
  </si>
  <si>
    <t xml:space="preserve"> Apporto personale in contanti</t>
  </si>
  <si>
    <t xml:space="preserve"> Overige lening(en)</t>
  </si>
  <si>
    <t xml:space="preserve"> Other loan(s)</t>
  </si>
  <si>
    <t xml:space="preserve"> Otro(s) préstamo(s)</t>
  </si>
  <si>
    <t xml:space="preserve"> Altri prestiti</t>
  </si>
  <si>
    <t xml:space="preserve"> Omzet product 1 (ex. BTW)</t>
  </si>
  <si>
    <t xml:space="preserve"> Turnover product 1, excluding BTW</t>
  </si>
  <si>
    <t xml:space="preserve"> Ventas línea de productos 1 (sin IVA)</t>
  </si>
  <si>
    <t xml:space="preserve"> Fatturato prodotto 1 (IVA esclusa)</t>
  </si>
  <si>
    <t xml:space="preserve"> Omzet product 2 (ex. BTW)</t>
  </si>
  <si>
    <t xml:space="preserve"> Turnover product 2, excluding BTW</t>
  </si>
  <si>
    <t xml:space="preserve"> Ventas línea de productos 2 (sin IVA)</t>
  </si>
  <si>
    <t xml:space="preserve"> Fatturato prodotto 2 (IVA esclusa)</t>
  </si>
  <si>
    <t xml:space="preserve"> BTW</t>
  </si>
  <si>
    <t>IVA</t>
  </si>
  <si>
    <t xml:space="preserve"> IVA</t>
  </si>
  <si>
    <t xml:space="preserve"> Omzet incl. BTW</t>
  </si>
  <si>
    <t xml:space="preserve"> Turnover, including BTW</t>
  </si>
  <si>
    <t>Facturación (sin IVA)</t>
  </si>
  <si>
    <t xml:space="preserve"> Fatturato IVA inclusa</t>
  </si>
  <si>
    <t>Totale ontvangsten</t>
  </si>
  <si>
    <t>Total revenue</t>
  </si>
  <si>
    <t>Total ingresos</t>
  </si>
  <si>
    <t>Ricavi totali</t>
  </si>
  <si>
    <t>Uitgaven</t>
  </si>
  <si>
    <t>Expenses</t>
  </si>
  <si>
    <t>Gastos</t>
  </si>
  <si>
    <t xml:space="preserve"> Investering</t>
  </si>
  <si>
    <t xml:space="preserve"> Investment</t>
  </si>
  <si>
    <t xml:space="preserve"> Inversión</t>
  </si>
  <si>
    <t xml:space="preserve"> Investimenti</t>
  </si>
  <si>
    <t xml:space="preserve"> Inkoop product 1</t>
  </si>
  <si>
    <t xml:space="preserve"> Purchasing product 1</t>
  </si>
  <si>
    <t xml:space="preserve"> Compra de mercancía línea de productos 1</t>
  </si>
  <si>
    <t xml:space="preserve"> Acquisto prodotto 1</t>
  </si>
  <si>
    <t xml:space="preserve"> Inkoop product 2</t>
  </si>
  <si>
    <t xml:space="preserve"> Purchasing product 2</t>
  </si>
  <si>
    <t xml:space="preserve"> Compra de mercancía línea de productos 2</t>
  </si>
  <si>
    <t xml:space="preserve"> Acquisto prodotto 2</t>
  </si>
  <si>
    <t xml:space="preserve"> BTW inkoop</t>
  </si>
  <si>
    <t xml:space="preserve"> BTW Purchasing</t>
  </si>
  <si>
    <t>IVA sobre compras</t>
  </si>
  <si>
    <t xml:space="preserve"> IVA sugli acquisti</t>
  </si>
  <si>
    <t xml:space="preserve"> Personeelskosten</t>
  </si>
  <si>
    <t xml:space="preserve"> Personnel costs</t>
  </si>
  <si>
    <t xml:space="preserve"> Gastos de personal (Salario, Seguridad Social, impuestos)</t>
  </si>
  <si>
    <t xml:space="preserve"> Costi del personale</t>
  </si>
  <si>
    <t xml:space="preserve"> Huisvestingskosten</t>
  </si>
  <si>
    <t xml:space="preserve"> Accommodation costs</t>
  </si>
  <si>
    <t xml:space="preserve"> Gastos del local comercial</t>
  </si>
  <si>
    <t xml:space="preserve"> Costi ufficio/ laboratorio / negozio / magazzino</t>
  </si>
  <si>
    <t xml:space="preserve"> Vervoer/transportkosten</t>
  </si>
  <si>
    <t xml:space="preserve"> Transportation / transport costs</t>
  </si>
  <si>
    <t xml:space="preserve"> Transporte/gastos de transporte</t>
  </si>
  <si>
    <t xml:space="preserve"> Spese di trasporto</t>
  </si>
  <si>
    <t xml:space="preserve"> Promotiekosten</t>
  </si>
  <si>
    <t xml:space="preserve"> Promotion costs</t>
  </si>
  <si>
    <t xml:space="preserve"> Gastos publicidad</t>
  </si>
  <si>
    <t xml:space="preserve"> Costi promozionali</t>
  </si>
  <si>
    <t xml:space="preserve"> Overige bedrijfskosten</t>
  </si>
  <si>
    <t xml:space="preserve"> Other operating costs</t>
  </si>
  <si>
    <t xml:space="preserve"> Otros gastos </t>
  </si>
  <si>
    <t xml:space="preserve"> Altri costi operativi</t>
  </si>
  <si>
    <t xml:space="preserve"> BTW investeringen/kosten</t>
  </si>
  <si>
    <t xml:space="preserve"> BTW on investments / costs</t>
  </si>
  <si>
    <t xml:space="preserve"> IVA sobre inversiones/gastos</t>
  </si>
  <si>
    <t xml:space="preserve"> IVA sugli investimenti/sui costi</t>
  </si>
  <si>
    <t xml:space="preserve"> BTW afdracht</t>
  </si>
  <si>
    <t xml:space="preserve"> BTW payment</t>
  </si>
  <si>
    <t xml:space="preserve"> Pago de IVA</t>
  </si>
  <si>
    <t xml:space="preserve"> Detrazione IVA</t>
  </si>
  <si>
    <t xml:space="preserve"> Rente (excl. Qredits)</t>
  </si>
  <si>
    <t xml:space="preserve"> Interest (excluding Qredits)</t>
  </si>
  <si>
    <t xml:space="preserve"> Intereses (excluyendo Oportunitas)</t>
  </si>
  <si>
    <t xml:space="preserve"> Aflossing (excl. Qredits)</t>
  </si>
  <si>
    <t xml:space="preserve"> Redemption (excluding Qredits)</t>
  </si>
  <si>
    <t xml:space="preserve"> Amortizaciones (excluyendo Oportunitas)</t>
  </si>
  <si>
    <t xml:space="preserve"> Rente Qredits</t>
  </si>
  <si>
    <t xml:space="preserve"> Interest Qredits</t>
  </si>
  <si>
    <t xml:space="preserve"> Intereses Oportunitas</t>
  </si>
  <si>
    <t xml:space="preserve"> Aflossingen Qredits</t>
  </si>
  <si>
    <t xml:space="preserve"> Redemption Qredits</t>
  </si>
  <si>
    <t xml:space="preserve"> Amortizaciones Oportunitas</t>
  </si>
  <si>
    <t>IRPF (Autónomos) /Imp. Sociedades</t>
  </si>
  <si>
    <t>Salario y gastos del emprendedor</t>
  </si>
  <si>
    <t>Totale uitgaven</t>
  </si>
  <si>
    <t>Total expenses</t>
  </si>
  <si>
    <t>Total gastos</t>
  </si>
  <si>
    <t>Spese totali</t>
  </si>
  <si>
    <t>Kas per maand</t>
  </si>
  <si>
    <t>Cash per month</t>
  </si>
  <si>
    <t>Saldo mensual en caja</t>
  </si>
  <si>
    <t>Cassa mensile</t>
  </si>
  <si>
    <t>Eindsaldo</t>
  </si>
  <si>
    <t>Closing balance</t>
  </si>
  <si>
    <t>Resultado</t>
  </si>
  <si>
    <t>Saldo finale</t>
  </si>
  <si>
    <t>Frequently asked questions?!</t>
  </si>
  <si>
    <t>Exploitatie</t>
  </si>
  <si>
    <t>Operating</t>
  </si>
  <si>
    <t>Cuenta de Resultados</t>
  </si>
  <si>
    <t>Gestione</t>
  </si>
  <si>
    <t>Exploitatiebegroting</t>
  </si>
  <si>
    <t>Operating budget</t>
  </si>
  <si>
    <t>Previsione di gestione</t>
  </si>
  <si>
    <t xml:space="preserve">Exploitatiebegroting </t>
  </si>
  <si>
    <t xml:space="preserve">Operating budget </t>
  </si>
  <si>
    <t>Previsión de cobros y pagos</t>
  </si>
  <si>
    <t xml:space="preserve">Previsione di gestione </t>
  </si>
  <si>
    <t>Netto omzet product 1</t>
  </si>
  <si>
    <t>Net turnover product 1</t>
  </si>
  <si>
    <t>Ventas netas línea de productos 1</t>
  </si>
  <si>
    <t>Fatturato netto prodotto 1</t>
  </si>
  <si>
    <t>Inkoopwaarde</t>
  </si>
  <si>
    <t>Purchase value</t>
  </si>
  <si>
    <t>Compras</t>
  </si>
  <si>
    <t>Valore degli acquisti</t>
  </si>
  <si>
    <t>Bruto winst</t>
  </si>
  <si>
    <t>Gross profits</t>
  </si>
  <si>
    <t>Beneficio bruto</t>
  </si>
  <si>
    <t>Utile lordo</t>
  </si>
  <si>
    <t>Brutowinstmarge</t>
  </si>
  <si>
    <t>Gross profit margin</t>
  </si>
  <si>
    <t>Margen de beneficio bruto</t>
  </si>
  <si>
    <t>Margine lordo</t>
  </si>
  <si>
    <t>Netto omzet product 2</t>
  </si>
  <si>
    <t>Net turnover product 2</t>
  </si>
  <si>
    <t>Ventas netas línea de productos 2</t>
  </si>
  <si>
    <t>Fatturato netto prodotto 2</t>
  </si>
  <si>
    <t>Totaal omzet</t>
  </si>
  <si>
    <t>Net turnover total</t>
  </si>
  <si>
    <t>Total ventas netas</t>
  </si>
  <si>
    <t>Fatturato totale</t>
  </si>
  <si>
    <t>Purchase value total</t>
  </si>
  <si>
    <t>Compras totales</t>
  </si>
  <si>
    <t>Totaal Bruto winst</t>
  </si>
  <si>
    <t>Gross profits total</t>
  </si>
  <si>
    <t>Total beneficio bruto</t>
  </si>
  <si>
    <t>Utile lordo totale</t>
  </si>
  <si>
    <t>Personeelskosten</t>
  </si>
  <si>
    <t>Personnel costs</t>
  </si>
  <si>
    <t>Salario Personal Contratado</t>
  </si>
  <si>
    <t>Costi del personale</t>
  </si>
  <si>
    <t>Huisvestingskosten</t>
  </si>
  <si>
    <t>Accommodation costs</t>
  </si>
  <si>
    <t>Gastos del alquiler del local</t>
  </si>
  <si>
    <t>Costi immobili (e.g., Ufficio, negozio, laboratorio, magazzino, …)</t>
  </si>
  <si>
    <t>Vervoer/ transportkosten</t>
  </si>
  <si>
    <t>Transportation / transport costs</t>
  </si>
  <si>
    <t>Transporte/gastos de transporte</t>
  </si>
  <si>
    <t>Spese di trasporto</t>
  </si>
  <si>
    <t>Promotion costs</t>
  </si>
  <si>
    <t>Gastos de publicidad</t>
  </si>
  <si>
    <t>Costi promozionali</t>
  </si>
  <si>
    <t xml:space="preserve">Overige bedrijfskosten </t>
  </si>
  <si>
    <t xml:space="preserve">Other operating costs </t>
  </si>
  <si>
    <t>Otros gastos</t>
  </si>
  <si>
    <t>Altri costi operativi</t>
  </si>
  <si>
    <t>Afschrijvingen</t>
  </si>
  <si>
    <t>Depreciation</t>
  </si>
  <si>
    <t>Amortización de Inmobilizado</t>
  </si>
  <si>
    <t>Ammortamento</t>
  </si>
  <si>
    <t>Totaal Bedrijfskosten</t>
  </si>
  <si>
    <t>Total operating costs</t>
  </si>
  <si>
    <t>Total gastos asocidos a la actividad de la empresa</t>
  </si>
  <si>
    <t>Totale costi operativi</t>
  </si>
  <si>
    <t>Rente Qredits</t>
  </si>
  <si>
    <t>Interest Qredits</t>
  </si>
  <si>
    <t>Intereses préstamo Oportunitas</t>
  </si>
  <si>
    <t>Interessi Finanziamento</t>
  </si>
  <si>
    <t>Overige rentelasten</t>
  </si>
  <si>
    <t>Other interest charges</t>
  </si>
  <si>
    <t>Otros gastos financieros</t>
  </si>
  <si>
    <t>Altri interessi</t>
  </si>
  <si>
    <t>Winst uit onderneming</t>
  </si>
  <si>
    <t>Pre tax profit</t>
  </si>
  <si>
    <t>Beneficio antes de impuestos</t>
  </si>
  <si>
    <t xml:space="preserve">Utile ante imposte </t>
  </si>
  <si>
    <t>Winstdeel</t>
  </si>
  <si>
    <t>Profit share</t>
  </si>
  <si>
    <t>Quota dell’utile distribuito</t>
  </si>
  <si>
    <t>Aftrekposten</t>
  </si>
  <si>
    <t>Tax deduction</t>
  </si>
  <si>
    <t>Deducción de impuestos</t>
  </si>
  <si>
    <t>Detrazioni fiscali</t>
  </si>
  <si>
    <t>Belastbaar inkomen</t>
  </si>
  <si>
    <t>Taxable income</t>
  </si>
  <si>
    <t>Base imponible</t>
  </si>
  <si>
    <t>Utile imponibile</t>
  </si>
  <si>
    <t>IB bedrag</t>
  </si>
  <si>
    <t>Income tax amount (payable personally)</t>
  </si>
  <si>
    <t>Impuesto sobre la renta (pago personal)</t>
  </si>
  <si>
    <t>Importo dell’imposta sui redditi in capo all'imprenditore</t>
  </si>
  <si>
    <t>Privé-onttrekking</t>
  </si>
  <si>
    <t>Personal withdrawal</t>
  </si>
  <si>
    <t>Stipendio/ prelievi personali dell'imprenditore</t>
  </si>
  <si>
    <t>Resultado final</t>
  </si>
  <si>
    <t>Variazione del capitale proprio</t>
  </si>
  <si>
    <t xml:space="preserve">Cash-flow overzicht  </t>
  </si>
  <si>
    <t xml:space="preserve">Cash-flow overview  </t>
  </si>
  <si>
    <t>Resumen de tesorería</t>
  </si>
  <si>
    <t xml:space="preserve">Prospetto del flusso di cassa  </t>
  </si>
  <si>
    <t>Winst na belasting</t>
  </si>
  <si>
    <t>Net profit</t>
  </si>
  <si>
    <t>Beneficio después de Impuestos</t>
  </si>
  <si>
    <t>Utili al netto delle imposte</t>
  </si>
  <si>
    <t>Amortización de inmovilizado</t>
  </si>
  <si>
    <t>Beschikbare kasmiddelen</t>
  </si>
  <si>
    <t>Available cash flow</t>
  </si>
  <si>
    <t>Resultado de tesorería</t>
  </si>
  <si>
    <t>Liquidità disponibile</t>
  </si>
  <si>
    <t>Totale privé-onttrekking</t>
  </si>
  <si>
    <t>Total personal withdrawal</t>
  </si>
  <si>
    <t>Total anual salario y gastos del emprendedor</t>
  </si>
  <si>
    <t>Totale prelevamenti personali</t>
  </si>
  <si>
    <t>Aflossingen</t>
  </si>
  <si>
    <t>Redemption</t>
  </si>
  <si>
    <t>Amortización préstamo Oportunitas</t>
  </si>
  <si>
    <t>Rimborso</t>
  </si>
  <si>
    <t>Beschikbaar voor investeringen</t>
  </si>
  <si>
    <t>Available for investments</t>
  </si>
  <si>
    <t>Superávit/Déficit</t>
  </si>
  <si>
    <t>Disponibilità per investimenti</t>
  </si>
  <si>
    <t>Qredits maandlasten</t>
  </si>
  <si>
    <t>Qredits monthly costs</t>
  </si>
  <si>
    <t>Cuadro de Amortización Oportunitas</t>
  </si>
  <si>
    <t>Oneri mensili Finanziamento</t>
  </si>
  <si>
    <t>Indicatie op basis van de door u ingevulde investering- en financieringsbegroting</t>
  </si>
  <si>
    <t>Indication based on the investment and financing budget as completed by you</t>
  </si>
  <si>
    <t>Estos datos están basados en el plan de inversión y financiación</t>
  </si>
  <si>
    <t>Indicazione in base alla previsione di investimento e finanziamento fornita</t>
  </si>
  <si>
    <t>Looptijd in jaren</t>
  </si>
  <si>
    <t>Term in years</t>
  </si>
  <si>
    <t>Plazo en años</t>
  </si>
  <si>
    <t>Durata in anni</t>
  </si>
  <si>
    <t>Looptijd in maanden</t>
  </si>
  <si>
    <t>Term in months</t>
  </si>
  <si>
    <t>Plazo en meses</t>
  </si>
  <si>
    <t>Durata in mesi</t>
  </si>
  <si>
    <t>Lening</t>
  </si>
  <si>
    <t>Loan</t>
  </si>
  <si>
    <t>Importe del préstamo</t>
  </si>
  <si>
    <t>Prestito</t>
  </si>
  <si>
    <t>Afsluitkosten</t>
  </si>
  <si>
    <t>Rente % per jaar</t>
  </si>
  <si>
    <t>Annual interest %</t>
  </si>
  <si>
    <t>Interés anual</t>
  </si>
  <si>
    <t>% annuale di interessi</t>
  </si>
  <si>
    <t>Rente % per maand</t>
  </si>
  <si>
    <t>Monthly interest %</t>
  </si>
  <si>
    <t>Interés mensual</t>
  </si>
  <si>
    <t>% mensile di interessi</t>
  </si>
  <si>
    <t>Aflossing per maand</t>
  </si>
  <si>
    <t>Monthly redemption</t>
  </si>
  <si>
    <t>Amortización mensual</t>
  </si>
  <si>
    <t>Rata mensile (solo quota capitale)</t>
  </si>
  <si>
    <t>Aflosmethode</t>
  </si>
  <si>
    <t>Amortization profile</t>
  </si>
  <si>
    <t>Sistema de amortización</t>
  </si>
  <si>
    <t>Metodo di restituzione</t>
  </si>
  <si>
    <t>Maand 1e aflossing</t>
  </si>
  <si>
    <t>Month of first payment</t>
  </si>
  <si>
    <t>Mes inicio amortización</t>
  </si>
  <si>
    <t>Primo mese di restituzione</t>
  </si>
  <si>
    <t xml:space="preserve">Jaar </t>
  </si>
  <si>
    <t xml:space="preserve">Year </t>
  </si>
  <si>
    <t xml:space="preserve">Año </t>
  </si>
  <si>
    <t xml:space="preserve">Annuale </t>
  </si>
  <si>
    <t>Bedrag lening begin maand</t>
  </si>
  <si>
    <t>Amount at the beginning</t>
  </si>
  <si>
    <t>Capital inicial</t>
  </si>
  <si>
    <t>Importo iniziale del prestito</t>
  </si>
  <si>
    <t>Kosten rente per maand</t>
  </si>
  <si>
    <t>Monthly interest costs</t>
  </si>
  <si>
    <t>Intereses mensuales</t>
  </si>
  <si>
    <t>Interessi mensili</t>
  </si>
  <si>
    <t>Amortización de capital mensual</t>
  </si>
  <si>
    <t>Rata mensile</t>
  </si>
  <si>
    <t>Te betalen per maand</t>
  </si>
  <si>
    <t>To be paid per month</t>
  </si>
  <si>
    <t>Cuota mensual</t>
  </si>
  <si>
    <t>Importo mensile da pagare</t>
  </si>
  <si>
    <t>Totaal betaald gedurende de looptijd</t>
  </si>
  <si>
    <t>Paid total during the term</t>
  </si>
  <si>
    <t>Total pagado al vencimiento</t>
  </si>
  <si>
    <t>Importo totale pagato su tutta la durata</t>
  </si>
  <si>
    <t>Totaal aflossing</t>
  </si>
  <si>
    <t>Total redemption</t>
  </si>
  <si>
    <t>Total amortización</t>
  </si>
  <si>
    <t>Rimborso totale</t>
  </si>
  <si>
    <t>Totaal rente</t>
  </si>
  <si>
    <t>Total interest</t>
  </si>
  <si>
    <t>Total intereses</t>
  </si>
  <si>
    <t>Interessi totali</t>
  </si>
  <si>
    <t>Totaal afsluitkosten</t>
  </si>
  <si>
    <t>Total formalisation fee</t>
  </si>
  <si>
    <t>Total comisión de apertura</t>
  </si>
  <si>
    <t>Spese di istruttoria totali</t>
  </si>
  <si>
    <t>Effectieve rente</t>
  </si>
  <si>
    <t>Effective interest rate</t>
  </si>
  <si>
    <t>Interés efectivo</t>
  </si>
  <si>
    <t>Gefeliciteerd!</t>
  </si>
  <si>
    <t>Congratulations!</t>
  </si>
  <si>
    <t>¡Enhorabuena!</t>
  </si>
  <si>
    <t>Congratulazioni!</t>
  </si>
  <si>
    <t>Je hebt de succesvol module 'De Cijfers' doorlopen. De antwoorden die je hebt in gevuld op de vragen in de e-learning staan op het tabblad 'Mijn Antwoorden'. Als je hieronder op 'Mijn Antwoorden' klikt kun je ze bekijken en eventueel aanpassen.</t>
  </si>
  <si>
    <t>You have successfully completed the module ‘The Figures’. The answers you have provided to the questions in the e-learning programme are under the tab 'My Answers'. If you click below on 'My Answers', you can view them and, if necessary, change them.</t>
  </si>
  <si>
    <t>Has completado correctamente el módulo del "Plan Financiero". Tus respuestas a las preguntas en el curso on-line están en la pestaña "Mis respuestas". Si haces clic aquí abajo, las podrás ver y modificar si es necesario.</t>
  </si>
  <si>
    <t>Hai completato il 'modulo dati’ con successo. Le risposte che hai dato alle domande nell'area e-learning sono riportate nella scheda 'Le mie risposte'. Facendo clic su 'Le mie riposte' puoi visualizzarle ed eventualmente modificarle.</t>
  </si>
  <si>
    <t xml:space="preserve">    Mijn Antwoorden</t>
  </si>
  <si>
    <t xml:space="preserve">    My Answers</t>
  </si>
  <si>
    <t xml:space="preserve">    Mis respuestas</t>
  </si>
  <si>
    <t xml:space="preserve">    Le mie risposte</t>
  </si>
  <si>
    <t>De antwoorden die je hebt ingevuld zijn verwerkt in dit financieel plan. Met dit plan heb je in beeld wat de financiële verwachtingen van je op te starten onderneming zijn. Klik op de onderstaande begrotingen om ze te bekijken.</t>
  </si>
  <si>
    <t>The answers you have provided are included in this financial plan. This plan will give you a picture of the financial expectations of your future company. Click on the budgets below to view them.</t>
  </si>
  <si>
    <t>Tus respuestas están recogidas en este plan financiero. A través de este plan, podrás hacerte una idea sobre la viabilidad de tu negocio y la necesidad de inversión y financiación del mismo. Haz clic en las siguientes pestañas, para poder visualizar los diferentes apartados del plan.</t>
  </si>
  <si>
    <t>Le risposte che hai dato sono inserite in questo piano finanziario. Questo piano ti offre un’indicazione sull'andamento finanziario dell'impresa che vuoi avviare. Fai clic sulle previsioni seguenti per visualizzarle.</t>
  </si>
  <si>
    <t>Capital pendiente</t>
  </si>
  <si>
    <t>All the answers you gave are shown on the ‘Le mie risposte’ page of the Excel workbook and have been used to make all the calculations on the following sheets of the workbook providing you with a complete financial plan.</t>
  </si>
  <si>
    <t>Tutte le risposte che hai fornito durante la fruizione della piattaforma sono visualizzate nella pagina ‘Le mie risposte’ del foglio di lavoro Excel e sono state utilizzate per effettuare tutti i calcoli sui seguenti fogli del quaderno di lavoro fornendoti un piano finanziario completo.</t>
  </si>
  <si>
    <t>Nota bene: The only thing you still need to fill in is the estimated amount for personal taxes due and commercial taxes due.  Because of the complexity of the Italian tax laws we urge you to ask your tax advisor for the estimated amount to fill in on row 30 and 41 of the Previsione di gestione worksheet.</t>
  </si>
  <si>
    <t>BEREKENING APR VOOR</t>
  </si>
  <si>
    <t>Termijn</t>
  </si>
  <si>
    <t>Periode</t>
  </si>
  <si>
    <t>Aflossing</t>
  </si>
  <si>
    <t>Rente</t>
  </si>
  <si>
    <t>Contante waarde</t>
  </si>
  <si>
    <t>Nr</t>
  </si>
  <si>
    <t>Vervaldatum</t>
  </si>
  <si>
    <t>Vanaf</t>
  </si>
  <si>
    <t>Tot en met</t>
  </si>
  <si>
    <t>Prorata</t>
  </si>
  <si>
    <t>Grondslag</t>
  </si>
  <si>
    <t>Cashflow</t>
  </si>
  <si>
    <t>Cashflow met kosten</t>
  </si>
  <si>
    <t>Nominale</t>
  </si>
  <si>
    <t>Effectieve</t>
  </si>
  <si>
    <t>Divisor</t>
  </si>
  <si>
    <t>Rechtsvorm</t>
  </si>
  <si>
    <t>%LegalForm%</t>
  </si>
  <si>
    <t>prive_partner</t>
  </si>
  <si>
    <t>prive_vermogen_woning</t>
  </si>
  <si>
    <t>inkomsten_betaling_klanten</t>
  </si>
  <si>
    <t>%BusinessInvestmentStartPayOff%</t>
  </si>
  <si>
    <t>prive_inkomsten_bedrag</t>
  </si>
  <si>
    <t>%CurrentSalary%</t>
  </si>
  <si>
    <t>prive_inkomsten_na_start</t>
  </si>
  <si>
    <t>%SalaryAfterStart%</t>
  </si>
  <si>
    <t>prive_inkomsten_uitkering</t>
  </si>
  <si>
    <t>%MonthlyAllowance%</t>
  </si>
  <si>
    <t>prive_inkomsten_uitkering_duur</t>
  </si>
  <si>
    <t>%AllowanceContinuePeriod%</t>
  </si>
  <si>
    <t>prive_inkomsten_toeslagen</t>
  </si>
  <si>
    <t>%Surcharges%</t>
  </si>
  <si>
    <t>%PartnerWithIncome%</t>
  </si>
  <si>
    <t>prive_partner_bedrag</t>
  </si>
  <si>
    <t>%CurrentSalaryPartner%</t>
  </si>
  <si>
    <t>prive_partner_bedrag_na_start</t>
  </si>
  <si>
    <t>%SalaryPartnerAfterStart%</t>
  </si>
  <si>
    <t>prive_inkomsten_totaal</t>
  </si>
  <si>
    <t>%TotalCurrentSalaries%</t>
  </si>
  <si>
    <t>prive_inkomsten_totaal_na_start</t>
  </si>
  <si>
    <t>%TotalSalariesAfterStart%</t>
  </si>
  <si>
    <t>prive_uitgaven_huur</t>
  </si>
  <si>
    <t>%ResidentialRent%</t>
  </si>
  <si>
    <t>prive_uitgaven_hypotheek</t>
  </si>
  <si>
    <t>%MortgagePayment%</t>
  </si>
  <si>
    <t>prive_uitgaven_GWE</t>
  </si>
  <si>
    <t>%ResidentialUtilityCosts%</t>
  </si>
  <si>
    <t>prive_uitgaven_consumptie</t>
  </si>
  <si>
    <t>%DurableGoods%</t>
  </si>
  <si>
    <t>prive_uitgaven_ziektekosten</t>
  </si>
  <si>
    <t>%HealthInsurance%</t>
  </si>
  <si>
    <t>prive_uitgaven_verz_overig</t>
  </si>
  <si>
    <t>%OtherInsurances%</t>
  </si>
  <si>
    <t>prive_uitgaven_vervoer</t>
  </si>
  <si>
    <t>%PublicTransport%</t>
  </si>
  <si>
    <t>prive_uitgaven_huishoudelijk</t>
  </si>
  <si>
    <t>%HouseholdExpenses%</t>
  </si>
  <si>
    <t>prive_uitgaven_vakantie</t>
  </si>
  <si>
    <t>%Recreation%</t>
  </si>
  <si>
    <t>prive_uitgaven_kinderen</t>
  </si>
  <si>
    <t>%EducationAndDaycare%</t>
  </si>
  <si>
    <t>prive_uitgaven_lening</t>
  </si>
  <si>
    <t>%PrivateLoans%</t>
  </si>
  <si>
    <t>prive_uitgaven_overig</t>
  </si>
  <si>
    <t>%OtherPrivateExpenses%</t>
  </si>
  <si>
    <t>%Homeowner%</t>
  </si>
  <si>
    <t>prive_vermogen_woning_WOZ</t>
  </si>
  <si>
    <t>%EstimatedValueResidence%</t>
  </si>
  <si>
    <t>prive_vermogen_woning_hypotheek</t>
  </si>
  <si>
    <t>%MortgageDebt%</t>
  </si>
  <si>
    <t>prive_vermogen_schulden</t>
  </si>
  <si>
    <t>%OtherDebts%</t>
  </si>
  <si>
    <t>prive_vermogen_spaargeld</t>
  </si>
  <si>
    <t>%TotalCurrentSavings%</t>
  </si>
  <si>
    <t>prive_vermogen_overig</t>
  </si>
  <si>
    <t>%OtherCapital%</t>
  </si>
  <si>
    <t>prive_inkomsten_bedrag_two</t>
  </si>
  <si>
    <t>%CurrentSalarytwo%</t>
  </si>
  <si>
    <t>prive_inkomsten_na_start_two</t>
  </si>
  <si>
    <t>%SalaryAfterStarttwo%</t>
  </si>
  <si>
    <t>prive_inkomsten_uitkering_two</t>
  </si>
  <si>
    <t>%MonthlyAllowancetwo%</t>
  </si>
  <si>
    <t>prive_inkomsten_uitkering_duur_two</t>
  </si>
  <si>
    <t>%AllowanceContinuePeriodtwo%</t>
  </si>
  <si>
    <t>prive_inkomsten_toeslagen_two</t>
  </si>
  <si>
    <t>%Surchargestwo%</t>
  </si>
  <si>
    <t>prive_partner_two</t>
  </si>
  <si>
    <t>%PartnerWithIncometwo%</t>
  </si>
  <si>
    <t>prive_partner_bedrag_two</t>
  </si>
  <si>
    <t>%CurrentSalaryPartnertwo%</t>
  </si>
  <si>
    <t>prive_partner_bedrag_na_start_two</t>
  </si>
  <si>
    <t>%SalaryPartnerAfterStarttwo%</t>
  </si>
  <si>
    <t>prive_inkomsten_totaal_two</t>
  </si>
  <si>
    <t>%TotalCurrentSalariestwo%</t>
  </si>
  <si>
    <t>prive_inkomsten_totaal_na_start_two</t>
  </si>
  <si>
    <t>%TotalSalariesAfterStarttwo%</t>
  </si>
  <si>
    <t>prive_uitgaven_huur_two</t>
  </si>
  <si>
    <t>%ResidentialRenttwo%</t>
  </si>
  <si>
    <t>prive_uitgaven_hypotheek_two</t>
  </si>
  <si>
    <t>%MortgagePaymenttwo%</t>
  </si>
  <si>
    <t>prive_uitgaven_GWE_two</t>
  </si>
  <si>
    <t>%ResidentialUtilityCoststwo%</t>
  </si>
  <si>
    <t>prive_uitgaven_consumptie_two</t>
  </si>
  <si>
    <t>%DurableGoodstwo%</t>
  </si>
  <si>
    <t>prive_uitgaven_ziektekosten_two</t>
  </si>
  <si>
    <t>%HealthInsurancetwo%</t>
  </si>
  <si>
    <t>prive_uitgaven_verz_overig_two</t>
  </si>
  <si>
    <t>%OtherInsurancestwo%</t>
  </si>
  <si>
    <t>prive_uitgaven_vervoer_two</t>
  </si>
  <si>
    <t>%PublicTransporttwo%</t>
  </si>
  <si>
    <t>prive_uitgaven_huishoudelijk_two</t>
  </si>
  <si>
    <t>%HouseholdExpensestwo%</t>
  </si>
  <si>
    <t>prive_uitgaven_vakantie_two</t>
  </si>
  <si>
    <t>%Recreationtwo%</t>
  </si>
  <si>
    <t>prive_uitgaven_kinderen_two</t>
  </si>
  <si>
    <t>%EducationAndDaycaretwo%</t>
  </si>
  <si>
    <t>prive_uitgaven_lening_two</t>
  </si>
  <si>
    <t>%PrivateLoanstwo%</t>
  </si>
  <si>
    <t>prive_uitgaven_overig_two</t>
  </si>
  <si>
    <t>%OtherPrivateExpensestwo%</t>
  </si>
  <si>
    <t>prive_vermogen_woning_two</t>
  </si>
  <si>
    <t>%Homeownertwo%</t>
  </si>
  <si>
    <t>prive_vermogen_woning_WOZ_two</t>
  </si>
  <si>
    <t>%EstimatedValueResidencetwo%</t>
  </si>
  <si>
    <t>prive_vermogen_woning_hypotheek_two</t>
  </si>
  <si>
    <t>%MortgageDebttwo%</t>
  </si>
  <si>
    <t>prive_vermogen_schulden_two</t>
  </si>
  <si>
    <t>%OtherDebtstwo%</t>
  </si>
  <si>
    <t>prive_vermogen_spaargeld_two</t>
  </si>
  <si>
    <t>%TotalCurrentSavingstwo%</t>
  </si>
  <si>
    <t>prive_vermogen_overig_two</t>
  </si>
  <si>
    <t>%OtherCapitaltwo%</t>
  </si>
  <si>
    <t>investeringen_onroerendgoed_bedrag</t>
  </si>
  <si>
    <t>%PropertyInvestment%</t>
  </si>
  <si>
    <t>investeringen_onroerendgoed_wie</t>
  </si>
  <si>
    <t>%PropertyInvestmentSource%</t>
  </si>
  <si>
    <t>investeringen_verbouwing_bedrag</t>
  </si>
  <si>
    <t>%RenovationInvestment%</t>
  </si>
  <si>
    <t>investeringen_verbouwing_wanneer</t>
  </si>
  <si>
    <t>%RenovationInvestmentSource%</t>
  </si>
  <si>
    <t>investeringen_inventaris_bedrag</t>
  </si>
  <si>
    <t>%InventoryInvestment%</t>
  </si>
  <si>
    <t>investeringen_inventaris_wanneer</t>
  </si>
  <si>
    <t>%InventoryInvestmentSource%</t>
  </si>
  <si>
    <t>investeringen_machine_bedrag</t>
  </si>
  <si>
    <t>%MachineInvestment%</t>
  </si>
  <si>
    <t>investeringen_machine_wanneer</t>
  </si>
  <si>
    <t>%MachineInvestmentSource%</t>
  </si>
  <si>
    <t>investeringen_computer_bedrag</t>
  </si>
  <si>
    <t>%ComputerSoftwareInvestment%</t>
  </si>
  <si>
    <t>investeringen_computer_wanneer</t>
  </si>
  <si>
    <t>%ComputerSoftwareInvestmentSource%</t>
  </si>
  <si>
    <t>investeringen_transport_bedrag</t>
  </si>
  <si>
    <t>%TransportInvestment%</t>
  </si>
  <si>
    <t>investeringen_transport_wanneer</t>
  </si>
  <si>
    <t>%TransportInvestmentSource%</t>
  </si>
  <si>
    <t>investeringen_startvoorraad_bedrag</t>
  </si>
  <si>
    <t>%StockInvestment%</t>
  </si>
  <si>
    <t>investeringen_startvoorraad_wanneer</t>
  </si>
  <si>
    <t>%StockInvestmentSource%</t>
  </si>
  <si>
    <t>investeringen_startvoorraad_bedrag_two</t>
  </si>
  <si>
    <t>%StockInvestmenttwo%</t>
  </si>
  <si>
    <t>investeringen_startvoorraad_wie_two</t>
  </si>
  <si>
    <t>%StockInvestmentSourcetwo%</t>
  </si>
  <si>
    <t>investeringen_huurgarantie_bedrag</t>
  </si>
  <si>
    <t>%RentalGuaranteeInvestment%</t>
  </si>
  <si>
    <t>investeringen_franchisefee_bedrag</t>
  </si>
  <si>
    <t>%FranchiseFeeInvestment%</t>
  </si>
  <si>
    <t>investeringen_goodwill_bedrag</t>
  </si>
  <si>
    <t>%GoodwillInvestment%</t>
  </si>
  <si>
    <t>investeringen_aanloop_bedrag</t>
  </si>
  <si>
    <t>%StartPromotionTransitionalInvestment%</t>
  </si>
  <si>
    <t>BTW_over_investeringen</t>
  </si>
  <si>
    <t>%TaxRateInvestment%</t>
  </si>
  <si>
    <t>investeringen_overig_bedrag</t>
  </si>
  <si>
    <t>%OtherInvestment%</t>
  </si>
  <si>
    <t>finan_spaargeld</t>
  </si>
  <si>
    <t>%OwnInvestment%</t>
  </si>
  <si>
    <t>finan_lenen_bedrag</t>
  </si>
  <si>
    <t>%BorrowedInvestment%</t>
  </si>
  <si>
    <t>finan_lenen_rente</t>
  </si>
  <si>
    <t>%BorrowedInvestmentInterest%</t>
  </si>
  <si>
    <t>finan_lenen_aflossen_bedrag</t>
  </si>
  <si>
    <t>%BorrowedInvestmentMonthlyPayOff%</t>
  </si>
  <si>
    <t>finan_lenen_aflossen_wanneer</t>
  </si>
  <si>
    <t>%BorrowedInvestmentStartPayOff%</t>
  </si>
  <si>
    <t>finan_overig_bedrag</t>
  </si>
  <si>
    <t>%DebtCapitalInvestment%</t>
  </si>
  <si>
    <t>finan_overig_rente</t>
  </si>
  <si>
    <t>%DebtCapitalInvestmentInterest%</t>
  </si>
  <si>
    <t>finan_overig_aflossing_bedrag</t>
  </si>
  <si>
    <t>%DebtCapitalInvestmentMonthlyPayOff%</t>
  </si>
  <si>
    <t>finan_overig_aflossen_wanneer</t>
  </si>
  <si>
    <t>%DebtCapitalInvestmentStartPayOff%</t>
  </si>
  <si>
    <t>kosten_personeel_bedrag</t>
  </si>
  <si>
    <t>%PersonellCosts%</t>
  </si>
  <si>
    <t>kosten_personeel_vanaf</t>
  </si>
  <si>
    <t>kosten_huisvesting_bedrag</t>
  </si>
  <si>
    <t>%HousingCosts%</t>
  </si>
  <si>
    <t>kosten_huisvesting_vanaf</t>
  </si>
  <si>
    <t>%StartHousing%</t>
  </si>
  <si>
    <t>kosten_vervoer_bedrag</t>
  </si>
  <si>
    <t>%TransportationAccomodationCosts%</t>
  </si>
  <si>
    <t>kosten_promotie_bedrag</t>
  </si>
  <si>
    <t>%PromotionCosts%</t>
  </si>
  <si>
    <t>kosten_verzekeringen</t>
  </si>
  <si>
    <t>%InsurancesCosts%</t>
  </si>
  <si>
    <t>kosten_administratie</t>
  </si>
  <si>
    <t>%AdministrationCosts%</t>
  </si>
  <si>
    <t>kosten_abonnementen</t>
  </si>
  <si>
    <t>%Subscriptions%</t>
  </si>
  <si>
    <t>kosten_kantoorartikelen</t>
  </si>
  <si>
    <t>%OfficeSuppliesCosts%</t>
  </si>
  <si>
    <t>kosten_overig</t>
  </si>
  <si>
    <t>%OtherIndirectCosts%</t>
  </si>
  <si>
    <t>inkoop_verkoop</t>
  </si>
  <si>
    <t>%ProductsInStock%</t>
  </si>
  <si>
    <t>inkoop_verkoop_marge</t>
  </si>
  <si>
    <t>%CostPricePercentage%</t>
  </si>
  <si>
    <t>inkomsten_BTW_inkoop</t>
  </si>
  <si>
    <t>%TaxRateProductPurchase%</t>
  </si>
  <si>
    <t>inkomsten_betaling_leveranciers</t>
  </si>
  <si>
    <t>%PaymentTermSuppliers%</t>
  </si>
  <si>
    <t>inkomsten_BTW_omzet</t>
  </si>
  <si>
    <t>%TaxRateSales%</t>
  </si>
  <si>
    <t>verkoop_omzet_maand1</t>
  </si>
  <si>
    <t>%TurnoverForecastM1%</t>
  </si>
  <si>
    <t>verkoop_omzet_maand2</t>
  </si>
  <si>
    <t>%TurnoverForecastM2%</t>
  </si>
  <si>
    <t>verkoop_omzet_maand3</t>
  </si>
  <si>
    <t>%TurnoverForecastM3%</t>
  </si>
  <si>
    <t>verkoop_omzet_maand4</t>
  </si>
  <si>
    <t>%TurnoverForecastM4%</t>
  </si>
  <si>
    <t>verkoop_omzet_maand5</t>
  </si>
  <si>
    <t>%TurnoverForecastM5%</t>
  </si>
  <si>
    <t>verkoop_omzet_maand6</t>
  </si>
  <si>
    <t>%TurnoverForecastM6%</t>
  </si>
  <si>
    <t>verkoop_omzet_maand7</t>
  </si>
  <si>
    <t>%TurnoverForecastM7%</t>
  </si>
  <si>
    <t>verkoop_omzet_maand8</t>
  </si>
  <si>
    <t>%TurnoverForecastM8%</t>
  </si>
  <si>
    <t>verkoop_omzet_maand9</t>
  </si>
  <si>
    <t>%TurnoverForecastM9%</t>
  </si>
  <si>
    <t>verkoop_omzet_maand10</t>
  </si>
  <si>
    <t>%TurnoverForecastM10%</t>
  </si>
  <si>
    <t>verkoop_omzet_maand11</t>
  </si>
  <si>
    <t>%TurnoverForecastM11%</t>
  </si>
  <si>
    <t>verkoop_omzet_maand12</t>
  </si>
  <si>
    <t>%TurnoverForecastM12%</t>
  </si>
  <si>
    <t>%PaymentTermClients%</t>
  </si>
  <si>
    <t>inkoop_verkoop_two</t>
  </si>
  <si>
    <t>%ProductsInStocktwo%</t>
  </si>
  <si>
    <t>inkoop_verkoop_marge_two</t>
  </si>
  <si>
    <t>%CostPricePercentagetwo%</t>
  </si>
  <si>
    <t>inkomsten_BTW_inkoop_two</t>
  </si>
  <si>
    <t>%TaxRateProductPurchasetwo%</t>
  </si>
  <si>
    <t>inkomsten_betaling_leveranciers_two</t>
  </si>
  <si>
    <t>%PaymentTermSupplierstwo%</t>
  </si>
  <si>
    <t>inkomsten_BTW_omzet_two</t>
  </si>
  <si>
    <t>%TaxRateSalestwo%</t>
  </si>
  <si>
    <t>verkoop_omzet_maand1_two</t>
  </si>
  <si>
    <t>%TurnoverForecastM1two%</t>
  </si>
  <si>
    <t>verkoop_omzet_maand2_two</t>
  </si>
  <si>
    <t>%TurnoverForecastM2two%</t>
  </si>
  <si>
    <t>verkoop_omzet_maand3_two</t>
  </si>
  <si>
    <t>%TurnoverForecastM3two%</t>
  </si>
  <si>
    <t>verkoop_omzet_maand4_two</t>
  </si>
  <si>
    <t>%TurnoverForecastM4two%</t>
  </si>
  <si>
    <t>verkoop_omzet_maand5_two</t>
  </si>
  <si>
    <t>%TurnoverForecastM5two%</t>
  </si>
  <si>
    <t>verkoop_omzet_maand6_two</t>
  </si>
  <si>
    <t>%TurnoverForecastM6two%</t>
  </si>
  <si>
    <t>verkoop_omzet_maand7_two</t>
  </si>
  <si>
    <t>%TurnoverForecastM7two%</t>
  </si>
  <si>
    <t>verkoop_omzet_maand8_two</t>
  </si>
  <si>
    <t>%TurnoverForecastM8two%</t>
  </si>
  <si>
    <t>verkoop_omzet_maand9_two</t>
  </si>
  <si>
    <t>%TurnoverForecastM9two%</t>
  </si>
  <si>
    <t>verkoop_omzet_maand10_two</t>
  </si>
  <si>
    <t>%TurnoverForecastM10two%</t>
  </si>
  <si>
    <t>verkoop_omzet_maand11_two</t>
  </si>
  <si>
    <t>%TurnoverForecastM11two%</t>
  </si>
  <si>
    <t>verkoop_omzet_maand12_two</t>
  </si>
  <si>
    <t>%TurnoverForecastM12two%</t>
  </si>
  <si>
    <t>%PaymentTermClientstwo%</t>
  </si>
  <si>
    <t>prive_aftrek_ondernemer</t>
  </si>
  <si>
    <t>prive_aftrek_zelfstandig</t>
  </si>
  <si>
    <t>%SelfEmploymentDeduction%</t>
  </si>
  <si>
    <t>prive_aftrek_starter</t>
  </si>
  <si>
    <t>%StartersDeduction%</t>
  </si>
  <si>
    <t>prive_aftrek_meewerk</t>
  </si>
  <si>
    <t>%CooperationDeduction%</t>
  </si>
  <si>
    <t>prive_aftrek_vrijstelling</t>
  </si>
  <si>
    <t>%SMEProfitExemption%</t>
  </si>
  <si>
    <t>prive_aftrek_investering</t>
  </si>
  <si>
    <t>%InvestmentDeduction%</t>
  </si>
  <si>
    <t>prive_aftrek_zelfstandig_two</t>
  </si>
  <si>
    <t>%SelfEmploymentDeductiontwo%</t>
  </si>
  <si>
    <t>prive_aftrek_starter_two</t>
  </si>
  <si>
    <t>%StartersDeductiontwo%</t>
  </si>
  <si>
    <t>prive_aftrek_meewerk_two</t>
  </si>
  <si>
    <t>%CooperationDeductiontwo%</t>
  </si>
  <si>
    <t>prive_aftrek_vrijstelling_two</t>
  </si>
  <si>
    <t>%SMEProfitExemptiontwo%</t>
  </si>
  <si>
    <t>prive_aftrek_investering_two</t>
  </si>
  <si>
    <t>%InvestmentDeductiontwo%</t>
  </si>
  <si>
    <t>lening_behoefte</t>
  </si>
  <si>
    <t>%BusinessInvestment%</t>
  </si>
  <si>
    <t>lening_jaren</t>
  </si>
  <si>
    <t>%BusinessInvestmentPayOffPeriod%</t>
  </si>
  <si>
    <t>lening_maanden</t>
  </si>
  <si>
    <t>SalarisUitBedrijf1</t>
  </si>
  <si>
    <t>%BusinessSalary%</t>
  </si>
  <si>
    <t>SalarisUitBedrijf2</t>
  </si>
  <si>
    <t>%BusinessSalarytwo%</t>
  </si>
  <si>
    <t>prive_uitgaven_Mobiel</t>
  </si>
  <si>
    <t>%Mobile%</t>
  </si>
  <si>
    <t>prive_uitgaven_Mobiel_two</t>
  </si>
  <si>
    <t>%Mobiletwo%</t>
  </si>
  <si>
    <t>Ja_Nee</t>
  </si>
  <si>
    <t>looptijd</t>
  </si>
  <si>
    <t>Investering</t>
  </si>
  <si>
    <t>Yes</t>
  </si>
  <si>
    <t>Sí</t>
  </si>
  <si>
    <t>Sì</t>
  </si>
  <si>
    <t>Nee</t>
  </si>
  <si>
    <t>No</t>
  </si>
  <si>
    <t>minder dan 525 uren</t>
  </si>
  <si>
    <t>525 - 875 uren</t>
  </si>
  <si>
    <t>875 -1225 uren</t>
  </si>
  <si>
    <t>Ontvangen</t>
  </si>
  <si>
    <t>1225 - 1750 uren</t>
  </si>
  <si>
    <t>Betalen</t>
  </si>
  <si>
    <t>meer dan 1750 uren</t>
  </si>
  <si>
    <t>Direct</t>
  </si>
  <si>
    <t>Inmediatamente</t>
  </si>
  <si>
    <t>Immediatamente</t>
  </si>
  <si>
    <t>Binnen 30 dagen</t>
  </si>
  <si>
    <t>Within 30 days</t>
  </si>
  <si>
    <t>Dentro de 30 días</t>
  </si>
  <si>
    <t>Entro 30 giorni</t>
  </si>
  <si>
    <t>Binnen 60 dagen</t>
  </si>
  <si>
    <t>Within 60 days</t>
  </si>
  <si>
    <t>Dentro de 60 días</t>
  </si>
  <si>
    <t>Entro 60 giorni</t>
  </si>
  <si>
    <t>Binnen 90 dagen</t>
  </si>
  <si>
    <t>Within 90 days</t>
  </si>
  <si>
    <t>Dentro de 90 días</t>
  </si>
  <si>
    <t>Entro 90 giorni</t>
  </si>
  <si>
    <t>Overig</t>
  </si>
  <si>
    <t>Periodiek</t>
  </si>
  <si>
    <t>Dag</t>
  </si>
  <si>
    <t>Day</t>
  </si>
  <si>
    <t>Día</t>
  </si>
  <si>
    <t>Giorno</t>
  </si>
  <si>
    <t>Mijzelf</t>
  </si>
  <si>
    <t>Graceperiod</t>
  </si>
  <si>
    <t>Week</t>
  </si>
  <si>
    <t>Semana</t>
  </si>
  <si>
    <t>Settimana</t>
  </si>
  <si>
    <t>Familie / vrienden</t>
  </si>
  <si>
    <t>Uitkering</t>
  </si>
  <si>
    <t>Inbreng</t>
  </si>
  <si>
    <t>Mese</t>
  </si>
  <si>
    <t>Bank</t>
  </si>
  <si>
    <t>loopt gewoon door</t>
  </si>
  <si>
    <t>Dit breng ik zelf in</t>
  </si>
  <si>
    <t>Aflossing  familie</t>
  </si>
  <si>
    <t>Kwartaal</t>
  </si>
  <si>
    <t>Quarter</t>
  </si>
  <si>
    <t>Trimestre</t>
  </si>
  <si>
    <t>Leverancier /huurbaas</t>
  </si>
  <si>
    <t>gestopt</t>
  </si>
  <si>
    <t>Nog te investeren</t>
  </si>
  <si>
    <t>Aflossing  overig</t>
  </si>
  <si>
    <t>Halfjaar</t>
  </si>
  <si>
    <t>Semi-year</t>
  </si>
  <si>
    <t>Semestre</t>
  </si>
  <si>
    <t>Oud eigenaar</t>
  </si>
  <si>
    <t>t/m maand 1</t>
  </si>
  <si>
    <t>Privé-ontrekking</t>
  </si>
  <si>
    <t>Jaar</t>
  </si>
  <si>
    <t>Year</t>
  </si>
  <si>
    <t>Año</t>
  </si>
  <si>
    <t>Anno</t>
  </si>
  <si>
    <t>t/m maand 2</t>
  </si>
  <si>
    <t>t/m maand 3</t>
  </si>
  <si>
    <t>Periodiek2</t>
  </si>
  <si>
    <t>t/m maand 4</t>
  </si>
  <si>
    <t>t/m maand 5</t>
  </si>
  <si>
    <t>t/m maand 6</t>
  </si>
  <si>
    <t>maanden</t>
  </si>
  <si>
    <t>procenten</t>
  </si>
  <si>
    <t>BTW</t>
  </si>
  <si>
    <t xml:space="preserve"> …</t>
  </si>
  <si>
    <t>voor de start</t>
  </si>
  <si>
    <t>pre start</t>
  </si>
  <si>
    <t>Previo a la puesta en marcha</t>
  </si>
  <si>
    <t>preparazione start-up</t>
  </si>
  <si>
    <t>maand 1</t>
  </si>
  <si>
    <t>month 1</t>
  </si>
  <si>
    <t>mes 1</t>
  </si>
  <si>
    <t>mese 1</t>
  </si>
  <si>
    <t>maand 2</t>
  </si>
  <si>
    <t>month 2</t>
  </si>
  <si>
    <t>mes 2</t>
  </si>
  <si>
    <t>mese 2</t>
  </si>
  <si>
    <t>maand 3</t>
  </si>
  <si>
    <t>month 3</t>
  </si>
  <si>
    <t>mes 3</t>
  </si>
  <si>
    <t>mese 3</t>
  </si>
  <si>
    <t>Kosten</t>
  </si>
  <si>
    <t>Vanaf maand 1</t>
  </si>
  <si>
    <t>From month 1</t>
  </si>
  <si>
    <t>Desde el mes 1</t>
  </si>
  <si>
    <t>Dal mese 1</t>
  </si>
  <si>
    <t>Vanaf maand 2</t>
  </si>
  <si>
    <t>From month 2</t>
  </si>
  <si>
    <t>Desde el mes 2</t>
  </si>
  <si>
    <t>Dal mese 2</t>
  </si>
  <si>
    <t>Vanaf maand 3</t>
  </si>
  <si>
    <t>From month 3</t>
  </si>
  <si>
    <t>Desde el mes 3</t>
  </si>
  <si>
    <t>Dal mese 3</t>
  </si>
  <si>
    <t>Vanaf maand 4</t>
  </si>
  <si>
    <t>From month 4</t>
  </si>
  <si>
    <t>Desde el mes 4</t>
  </si>
  <si>
    <t>Dal mese 4</t>
  </si>
  <si>
    <t>Vanaf maand 5</t>
  </si>
  <si>
    <t>From month 5</t>
  </si>
  <si>
    <t>Desde el mes 5</t>
  </si>
  <si>
    <t>Dal mese 5</t>
  </si>
  <si>
    <t>Vanaf maand 6</t>
  </si>
  <si>
    <t>From month 6</t>
  </si>
  <si>
    <t>Desde el mes 6</t>
  </si>
  <si>
    <t>Dal mese 6</t>
  </si>
  <si>
    <t>Breng ik zelf in</t>
  </si>
  <si>
    <t>Supplied by myself</t>
  </si>
  <si>
    <t>Yo mismo los aportaré</t>
  </si>
  <si>
    <t>Fornito da me</t>
  </si>
  <si>
    <t>Zijn nog te investeren</t>
  </si>
  <si>
    <t>Yet to be invested</t>
  </si>
  <si>
    <t>Se requiere de una inversión</t>
  </si>
  <si>
    <t>Da investire</t>
  </si>
  <si>
    <t>Myself</t>
  </si>
  <si>
    <t>Yo mismo</t>
  </si>
  <si>
    <t>Me stesso/a</t>
  </si>
  <si>
    <t>Family / friends</t>
  </si>
  <si>
    <t>Familia/amigos</t>
  </si>
  <si>
    <t>Famigliari/Amici</t>
  </si>
  <si>
    <t>Banco</t>
  </si>
  <si>
    <t>Banca</t>
  </si>
  <si>
    <t>Supplier / Landlord</t>
  </si>
  <si>
    <t>Proveedor / Arrendatario</t>
  </si>
  <si>
    <t>Fornitore /Locatore</t>
  </si>
  <si>
    <t>Former owner</t>
  </si>
  <si>
    <t>Antiguo propietario</t>
  </si>
  <si>
    <t>Ex proprietario</t>
  </si>
  <si>
    <t>Rinnovo</t>
  </si>
  <si>
    <t>Inventario</t>
  </si>
  <si>
    <t>Ordenador y/o software</t>
  </si>
  <si>
    <t>Azioni start-up</t>
  </si>
  <si>
    <t>Garanzia di affitto</t>
  </si>
  <si>
    <t>Cuota franquicia</t>
  </si>
  <si>
    <t>Tassa di franchising</t>
  </si>
  <si>
    <t>Traspaso</t>
  </si>
  <si>
    <t>Otros</t>
  </si>
  <si>
    <t>Altro/Imprevisti</t>
  </si>
  <si>
    <t>continuous</t>
  </si>
  <si>
    <t>Lo seguiré cobrando</t>
  </si>
  <si>
    <t>Normale proseguimento</t>
  </si>
  <si>
    <t>stopped</t>
  </si>
  <si>
    <t>Quedará interrumpida</t>
  </si>
  <si>
    <t>Interruzione</t>
  </si>
  <si>
    <t>Geen</t>
  </si>
  <si>
    <t>None</t>
  </si>
  <si>
    <t>tot maand 1</t>
  </si>
  <si>
    <t>till month 1</t>
  </si>
  <si>
    <t>Hasta el mes 1</t>
  </si>
  <si>
    <t>fino al mese 1</t>
  </si>
  <si>
    <t>tot maand 2</t>
  </si>
  <si>
    <t>till month 2</t>
  </si>
  <si>
    <t>Hasta el mes 2</t>
  </si>
  <si>
    <t>fino al mese 2</t>
  </si>
  <si>
    <t>tot maand 3</t>
  </si>
  <si>
    <t>till month 3</t>
  </si>
  <si>
    <t>Hasta el mes 3</t>
  </si>
  <si>
    <t>fino al mese 3</t>
  </si>
  <si>
    <t>tot maand 4</t>
  </si>
  <si>
    <t>till month 4</t>
  </si>
  <si>
    <t>Hasta el mes 4</t>
  </si>
  <si>
    <t>fino al mese 4</t>
  </si>
  <si>
    <t>tot maand 5</t>
  </si>
  <si>
    <t>till month 5</t>
  </si>
  <si>
    <t>Hasta el mes 5</t>
  </si>
  <si>
    <t>fino al mese 5</t>
  </si>
  <si>
    <t>tot maand 6</t>
  </si>
  <si>
    <t>till month 6</t>
  </si>
  <si>
    <t>Hasta el mes 6</t>
  </si>
  <si>
    <t>fino al mese 6</t>
  </si>
  <si>
    <t>Deducción propia</t>
  </si>
  <si>
    <t>Detrazione per impresa individuale</t>
  </si>
  <si>
    <t>Deduccin por nueva empresa</t>
  </si>
  <si>
    <t>Detrazione per start-up</t>
  </si>
  <si>
    <t>Deducción por colaboracion</t>
  </si>
  <si>
    <t>Detrazione per partecipazione</t>
  </si>
  <si>
    <t>Exención ganacias PYME</t>
  </si>
  <si>
    <t>Esenzione profitti PMI</t>
  </si>
  <si>
    <t>Deducción por inversion</t>
  </si>
  <si>
    <t>Detrazione per investimenti</t>
  </si>
  <si>
    <t>Yo lo aporto</t>
  </si>
  <si>
    <t>Necesito inversión</t>
  </si>
  <si>
    <t>les than 525 hours</t>
  </si>
  <si>
    <t>menos de 525 horas</t>
  </si>
  <si>
    <t>meno di 525 ore</t>
  </si>
  <si>
    <t>525 - 875 hours</t>
  </si>
  <si>
    <t>525 - 875 horas</t>
  </si>
  <si>
    <t>525 - 875 ore</t>
  </si>
  <si>
    <t>875 -1225 hours</t>
  </si>
  <si>
    <t>875 -1225 horas</t>
  </si>
  <si>
    <t>875 -1225 ore</t>
  </si>
  <si>
    <t>1225 - 1750 hours</t>
  </si>
  <si>
    <t>1225 - 1750 horas</t>
  </si>
  <si>
    <t>1225 - 1750 ore</t>
  </si>
  <si>
    <t>more than 1750 hours</t>
  </si>
  <si>
    <t>más de 1750 horas</t>
  </si>
  <si>
    <t>più di 1750 ore</t>
  </si>
  <si>
    <t>Personnel</t>
  </si>
  <si>
    <t>Gastos de personal</t>
  </si>
  <si>
    <t>Personale</t>
  </si>
  <si>
    <t>Accommodation</t>
  </si>
  <si>
    <t>Gastos de alquiler</t>
  </si>
  <si>
    <t>Alloggio</t>
  </si>
  <si>
    <t>Redemption family</t>
  </si>
  <si>
    <t>Devolución prestamos familiares</t>
  </si>
  <si>
    <t>Rimborso per famiglia</t>
  </si>
  <si>
    <t>Redemption other</t>
  </si>
  <si>
    <t>Devolución otros préstamos</t>
  </si>
  <si>
    <t>Rimborso per altro</t>
  </si>
  <si>
    <t>Private withdrawal</t>
  </si>
  <si>
    <t>Ritiro privato</t>
  </si>
  <si>
    <t>1 jaar</t>
  </si>
  <si>
    <t>1 year</t>
  </si>
  <si>
    <t>1 año</t>
  </si>
  <si>
    <t>1 anno</t>
  </si>
  <si>
    <t>2 jaar</t>
  </si>
  <si>
    <t>2 years</t>
  </si>
  <si>
    <t>2 años</t>
  </si>
  <si>
    <t>2 anni</t>
  </si>
  <si>
    <t>3 jaar</t>
  </si>
  <si>
    <t>3 years</t>
  </si>
  <si>
    <t>3 años</t>
  </si>
  <si>
    <t>3 anni</t>
  </si>
  <si>
    <t>4 jaar</t>
  </si>
  <si>
    <t>4 years</t>
  </si>
  <si>
    <t>4 años</t>
  </si>
  <si>
    <t>4 anni</t>
  </si>
  <si>
    <t>5 jaar</t>
  </si>
  <si>
    <t>5 years</t>
  </si>
  <si>
    <t>5 años</t>
  </si>
  <si>
    <t>5 anni</t>
  </si>
  <si>
    <t>6 jaar</t>
  </si>
  <si>
    <t>6 years</t>
  </si>
  <si>
    <t>6 años</t>
  </si>
  <si>
    <t>6 anni</t>
  </si>
  <si>
    <t>7 jaar</t>
  </si>
  <si>
    <t>7 years</t>
  </si>
  <si>
    <t>7 años</t>
  </si>
  <si>
    <t>7 anni</t>
  </si>
  <si>
    <t>8 jaar</t>
  </si>
  <si>
    <t>8 years</t>
  </si>
  <si>
    <t>8 años</t>
  </si>
  <si>
    <t>8 anni</t>
  </si>
  <si>
    <t>9 jaar</t>
  </si>
  <si>
    <t>9 years</t>
  </si>
  <si>
    <t>9 años</t>
  </si>
  <si>
    <t>9 anni</t>
  </si>
  <si>
    <t>10 jaar</t>
  </si>
  <si>
    <t>10 years</t>
  </si>
  <si>
    <t>10 años</t>
  </si>
  <si>
    <t>10 anni</t>
  </si>
  <si>
    <t>Tariefgroep 1</t>
  </si>
  <si>
    <t>Tariefgroep 2</t>
  </si>
  <si>
    <t>Eenmanszaak</t>
  </si>
  <si>
    <t>Autónomo</t>
  </si>
  <si>
    <t>Impresa individuale</t>
  </si>
  <si>
    <t>V.O.F.</t>
  </si>
  <si>
    <t>Sociedad civil</t>
  </si>
  <si>
    <t>Società di Persone</t>
  </si>
  <si>
    <t>B.V.</t>
  </si>
  <si>
    <t>Sociedad limitada</t>
  </si>
  <si>
    <t>Società di Capitali</t>
  </si>
  <si>
    <t>Ondernemers</t>
  </si>
  <si>
    <t>Eén</t>
  </si>
  <si>
    <t>One</t>
  </si>
  <si>
    <t>Uno</t>
  </si>
  <si>
    <t>Twee</t>
  </si>
  <si>
    <t>Two</t>
  </si>
  <si>
    <t>Dos</t>
  </si>
  <si>
    <t>Due</t>
  </si>
  <si>
    <t>Annuïteit</t>
  </si>
  <si>
    <t>Annuity</t>
  </si>
  <si>
    <t>Francés</t>
  </si>
  <si>
    <t>Lineair</t>
  </si>
  <si>
    <t>Linear</t>
  </si>
  <si>
    <t>Lineal</t>
  </si>
  <si>
    <t>Lineare</t>
  </si>
  <si>
    <t>Rekenblad Inkomstenbelasting</t>
  </si>
  <si>
    <t>Boekjaar</t>
  </si>
  <si>
    <t>Laatst bijgewerkt:</t>
  </si>
  <si>
    <t>Deel winst</t>
  </si>
  <si>
    <t>Totaal investeringen*</t>
  </si>
  <si>
    <t>*inclusief grens van €450,-</t>
  </si>
  <si>
    <t>-/- Kortingen</t>
  </si>
  <si>
    <t>Zelfstandigenaftrek (2017)</t>
  </si>
  <si>
    <t>IB</t>
  </si>
  <si>
    <t>Aftrek</t>
  </si>
  <si>
    <t>van</t>
  </si>
  <si>
    <t>tot</t>
  </si>
  <si>
    <t>Variabelen IB 2014</t>
  </si>
  <si>
    <t>Tarief</t>
  </si>
  <si>
    <t>Schijf</t>
  </si>
  <si>
    <t>Startersaftrek (2017)</t>
  </si>
  <si>
    <t>Meewerkaftrek (2017)</t>
  </si>
  <si>
    <t>Meegewerkte uren partner</t>
  </si>
  <si>
    <t>Investeringsaftrek (2017)</t>
  </si>
  <si>
    <t>Investeringsbedrag</t>
  </si>
  <si>
    <t>MKB-winstvrijstelling (2017)</t>
  </si>
  <si>
    <t>Winst ondernemingsaftrek</t>
  </si>
  <si>
    <t>Ouderdagsreserve (2017)</t>
  </si>
  <si>
    <t>Heffingskorting (2017)</t>
  </si>
  <si>
    <t>Korting</t>
  </si>
  <si>
    <t>Arbeidskorting (2017)</t>
  </si>
  <si>
    <t>Maand 13</t>
  </si>
  <si>
    <t>Month 13</t>
  </si>
  <si>
    <t>Mes 13</t>
  </si>
  <si>
    <t>Mese 13</t>
  </si>
  <si>
    <t>Maand 14</t>
  </si>
  <si>
    <t>Month 14</t>
  </si>
  <si>
    <t>Mes 14</t>
  </si>
  <si>
    <t>Mese 14</t>
  </si>
  <si>
    <t>Maand 15</t>
  </si>
  <si>
    <t>Month 15</t>
  </si>
  <si>
    <t>Mes 15</t>
  </si>
  <si>
    <t>Mese 15</t>
  </si>
  <si>
    <t>Maand 16</t>
  </si>
  <si>
    <t>Month 16</t>
  </si>
  <si>
    <t>Mes 16</t>
  </si>
  <si>
    <t>Mese 16</t>
  </si>
  <si>
    <t>Maand 17</t>
  </si>
  <si>
    <t>Month 17</t>
  </si>
  <si>
    <t>Mes 17</t>
  </si>
  <si>
    <t>Mese 17</t>
  </si>
  <si>
    <t>Maand 18</t>
  </si>
  <si>
    <t>Month 18</t>
  </si>
  <si>
    <t>Mes 18</t>
  </si>
  <si>
    <t>Mese 18</t>
  </si>
  <si>
    <t>Maand 19</t>
  </si>
  <si>
    <t>Month 19</t>
  </si>
  <si>
    <t>Mes 19</t>
  </si>
  <si>
    <t>Mese 19</t>
  </si>
  <si>
    <t>Maand 20</t>
  </si>
  <si>
    <t>Month 20</t>
  </si>
  <si>
    <t>Mes 20</t>
  </si>
  <si>
    <t>Mese 20</t>
  </si>
  <si>
    <t>Maand 21</t>
  </si>
  <si>
    <t>Month 21</t>
  </si>
  <si>
    <t>Mes 21</t>
  </si>
  <si>
    <t>Mese 21</t>
  </si>
  <si>
    <t>Maand 22</t>
  </si>
  <si>
    <t>Month 22</t>
  </si>
  <si>
    <t>Mes 22</t>
  </si>
  <si>
    <t>Mese 22</t>
  </si>
  <si>
    <t>Maand 23</t>
  </si>
  <si>
    <t>Month 23</t>
  </si>
  <si>
    <t>Mes 23</t>
  </si>
  <si>
    <t>Mese 23</t>
  </si>
  <si>
    <t>Maand 24</t>
  </si>
  <si>
    <t>Month 24</t>
  </si>
  <si>
    <t>Mes 24</t>
  </si>
  <si>
    <t>Mese 24</t>
  </si>
  <si>
    <t>Maand 25</t>
  </si>
  <si>
    <t>Month 25</t>
  </si>
  <si>
    <t>Mes 25</t>
  </si>
  <si>
    <t>Mese 25</t>
  </si>
  <si>
    <t>Maand 26</t>
  </si>
  <si>
    <t>Month 26</t>
  </si>
  <si>
    <t>Mes 26</t>
  </si>
  <si>
    <t>Mese 26</t>
  </si>
  <si>
    <t>Maand 27</t>
  </si>
  <si>
    <t>Month 27</t>
  </si>
  <si>
    <t>Mes 27</t>
  </si>
  <si>
    <t>Mese 27</t>
  </si>
  <si>
    <t>Maand 28</t>
  </si>
  <si>
    <t>Month 28</t>
  </si>
  <si>
    <t>Mes 28</t>
  </si>
  <si>
    <t>Mese 28</t>
  </si>
  <si>
    <t>Maand 29</t>
  </si>
  <si>
    <t>Month 29</t>
  </si>
  <si>
    <t>Mes 29</t>
  </si>
  <si>
    <t>Mese 29</t>
  </si>
  <si>
    <t>Maand 30</t>
  </si>
  <si>
    <t>Month 30</t>
  </si>
  <si>
    <t>Mes 30</t>
  </si>
  <si>
    <t>Mese 30</t>
  </si>
  <si>
    <t>Maand 31</t>
  </si>
  <si>
    <t>Month 31</t>
  </si>
  <si>
    <t>Mes 31</t>
  </si>
  <si>
    <t>Mese 31</t>
  </si>
  <si>
    <t>Maand 32</t>
  </si>
  <si>
    <t>Month 32</t>
  </si>
  <si>
    <t>Mes 32</t>
  </si>
  <si>
    <t>Mese 32</t>
  </si>
  <si>
    <t>Maand 33</t>
  </si>
  <si>
    <t>Month 33</t>
  </si>
  <si>
    <t>Mes 33</t>
  </si>
  <si>
    <t>Mese 33</t>
  </si>
  <si>
    <t>Maand 34</t>
  </si>
  <si>
    <t>Month 34</t>
  </si>
  <si>
    <t>Mes 34</t>
  </si>
  <si>
    <t>Mese 34</t>
  </si>
  <si>
    <t>Maand 35</t>
  </si>
  <si>
    <t>Month 35</t>
  </si>
  <si>
    <t>Mes 35</t>
  </si>
  <si>
    <t>Mese 35</t>
  </si>
  <si>
    <t>Maand 36</t>
  </si>
  <si>
    <t>Month 36</t>
  </si>
  <si>
    <t>Mes 36</t>
  </si>
  <si>
    <t>Mese 36</t>
  </si>
  <si>
    <t>verkoop_omzet_maand13</t>
  </si>
  <si>
    <t>verkoop_omzet_maand14</t>
  </si>
  <si>
    <t>verkoop_omzet_maand15</t>
  </si>
  <si>
    <t>verkoop_omzet_maand16</t>
  </si>
  <si>
    <t>verkoop_omzet_maand17</t>
  </si>
  <si>
    <t>verkoop_omzet_maand18</t>
  </si>
  <si>
    <t>verkoop_omzet_maand19</t>
  </si>
  <si>
    <t>verkoop_omzet_maand20</t>
  </si>
  <si>
    <t>verkoop_omzet_maand21</t>
  </si>
  <si>
    <t>verkoop_omzet_maand22</t>
  </si>
  <si>
    <t>verkoop_omzet_maand23</t>
  </si>
  <si>
    <t>verkoop_omzet_maand24</t>
  </si>
  <si>
    <t>verkoop_omzet_maand25</t>
  </si>
  <si>
    <t>verkoop_omzet_maand26</t>
  </si>
  <si>
    <t>verkoop_omzet_maand27</t>
  </si>
  <si>
    <t>verkoop_omzet_maand28</t>
  </si>
  <si>
    <t>verkoop_omzet_maand29</t>
  </si>
  <si>
    <t>verkoop_omzet_maand30</t>
  </si>
  <si>
    <t>verkoop_omzet_maand31</t>
  </si>
  <si>
    <t>verkoop_omzet_maand32</t>
  </si>
  <si>
    <t>verkoop_omzet_maand33</t>
  </si>
  <si>
    <t>verkoop_omzet_maand34</t>
  </si>
  <si>
    <t>verkoop_omzet_maand35</t>
  </si>
  <si>
    <t>verkoop_omzet_maand36</t>
  </si>
  <si>
    <t>%TurnoverForecastM13%</t>
  </si>
  <si>
    <t>%TurnoverForecastM14%</t>
  </si>
  <si>
    <t>%TurnoverForecastM15%</t>
  </si>
  <si>
    <t>%TurnoverForecastM16%</t>
  </si>
  <si>
    <t>%TurnoverForecastM17%</t>
  </si>
  <si>
    <t>%TurnoverForecastM18%</t>
  </si>
  <si>
    <t>%TurnoverForecastM19%</t>
  </si>
  <si>
    <t>%TurnoverForecastM20%</t>
  </si>
  <si>
    <t>%TurnoverForecastM21%</t>
  </si>
  <si>
    <t>%TurnoverForecastM22%</t>
  </si>
  <si>
    <t>%TurnoverForecastM23%</t>
  </si>
  <si>
    <t>%TurnoverForecastM24%</t>
  </si>
  <si>
    <t>%TurnoverForecastM25%</t>
  </si>
  <si>
    <t>%TurnoverForecastM26%</t>
  </si>
  <si>
    <t>%TurnoverForecastM27%</t>
  </si>
  <si>
    <t>%TurnoverForecastM28%</t>
  </si>
  <si>
    <t>%TurnoverForecastM29%</t>
  </si>
  <si>
    <t>%TurnoverForecastM30%</t>
  </si>
  <si>
    <t>%TurnoverForecastM31%</t>
  </si>
  <si>
    <t>%TurnoverForecastM32%</t>
  </si>
  <si>
    <t>%TurnoverForecastM33%</t>
  </si>
  <si>
    <t>%TurnoverForecastM34%</t>
  </si>
  <si>
    <t>%TurnoverForecastM35%</t>
  </si>
  <si>
    <t>%TurnoverForecastM36%</t>
  </si>
  <si>
    <t>verkoop_omzet_maand13_two</t>
  </si>
  <si>
    <t>%TurnoverForecastM13two%</t>
  </si>
  <si>
    <t>verkoop_omzet_maand14_two</t>
  </si>
  <si>
    <t>%TurnoverForecastM14two%</t>
  </si>
  <si>
    <t>verkoop_omzet_maand15_two</t>
  </si>
  <si>
    <t>%TurnoverForecastM15two%</t>
  </si>
  <si>
    <t>verkoop_omzet_maand16_two</t>
  </si>
  <si>
    <t>%TurnoverForecastM16two%</t>
  </si>
  <si>
    <t>verkoop_omzet_maand17_two</t>
  </si>
  <si>
    <t>%TurnoverForecastM17two%</t>
  </si>
  <si>
    <t>verkoop_omzet_maand18_two</t>
  </si>
  <si>
    <t>%TurnoverForecastM18two%</t>
  </si>
  <si>
    <t>verkoop_omzet_maand19_two</t>
  </si>
  <si>
    <t>%TurnoverForecastM19two%</t>
  </si>
  <si>
    <t>verkoop_omzet_maand20_two</t>
  </si>
  <si>
    <t>%TurnoverForecastM20two%</t>
  </si>
  <si>
    <t>verkoop_omzet_maand21_two</t>
  </si>
  <si>
    <t>%TurnoverForecastM21two%</t>
  </si>
  <si>
    <t>verkoop_omzet_maand22_two</t>
  </si>
  <si>
    <t>%TurnoverForecastM22two%</t>
  </si>
  <si>
    <t>verkoop_omzet_maand23_two</t>
  </si>
  <si>
    <t>%TurnoverForecastM23two%</t>
  </si>
  <si>
    <t>verkoop_omzet_maand24_two</t>
  </si>
  <si>
    <t>%TurnoverForecastM24two%</t>
  </si>
  <si>
    <t>verkoop_omzet_maand25_two</t>
  </si>
  <si>
    <t>%TurnoverForecastM25two%</t>
  </si>
  <si>
    <t>verkoop_omzet_maand26_two</t>
  </si>
  <si>
    <t>%TurnoverForecastM26two%</t>
  </si>
  <si>
    <t>verkoop_omzet_maand27_two</t>
  </si>
  <si>
    <t>%TurnoverForecastM27two%</t>
  </si>
  <si>
    <t>verkoop_omzet_maand28_two</t>
  </si>
  <si>
    <t>%TurnoverForecastM28two%</t>
  </si>
  <si>
    <t>verkoop_omzet_maand29_two</t>
  </si>
  <si>
    <t>%TurnoverForecastM29two%</t>
  </si>
  <si>
    <t>verkoop_omzet_maand30_two</t>
  </si>
  <si>
    <t>%TurnoverForecastM30two%</t>
  </si>
  <si>
    <t>verkoop_omzet_maand31_two</t>
  </si>
  <si>
    <t>%TurnoverForecastM31two%</t>
  </si>
  <si>
    <t>verkoop_omzet_maand32_two</t>
  </si>
  <si>
    <t>%TurnoverForecastM32two%</t>
  </si>
  <si>
    <t>verkoop_omzet_maand33_two</t>
  </si>
  <si>
    <t>%TurnoverForecastM33two%</t>
  </si>
  <si>
    <t>verkoop_omzet_maand34_two</t>
  </si>
  <si>
    <t>%TurnoverForecastM34two%</t>
  </si>
  <si>
    <t>verkoop_omzet_maand35_two</t>
  </si>
  <si>
    <t>%TurnoverForecastM35two%</t>
  </si>
  <si>
    <t>verkoop_omzet_maand36_two</t>
  </si>
  <si>
    <t>%TurnoverForecastM36two%</t>
  </si>
  <si>
    <t>Quanti soci ci sono in azienda (includendo te stesso)?</t>
  </si>
  <si>
    <t>Se ne beneficiate, qual è l'ammontare mensile delle indennità/sussidi che ricevete (ad esempio per figli, cure sanitarie, affitti o indennità di disoccupazione)?</t>
  </si>
  <si>
    <t xml:space="preserve">Istruzione, costi di studio e servizi di babysitting (exclusi rimborsi fiscali) </t>
  </si>
  <si>
    <t>%HouseholdTaxes%</t>
  </si>
  <si>
    <t>prive_uitgaven_huishoudelijke_belastingen</t>
  </si>
  <si>
    <t>Huishoudelijke belastingen</t>
  </si>
  <si>
    <t>Household taxes</t>
  </si>
  <si>
    <t>Imposte locali/tasse sulla casa (IMU, TARI, ecc….)</t>
  </si>
  <si>
    <t>Affitto dell'abitazione è spese condominiali</t>
  </si>
  <si>
    <t>Canoni e utenze (telefono, internet, TV satelitare, ecc…)</t>
  </si>
  <si>
    <t>Assicurazione sanitaria per la famiglia</t>
  </si>
  <si>
    <t>Altre assicurazioni (RC auto, furto e incendio, responsabilità civile, altre)</t>
  </si>
  <si>
    <t>Fondi di dotazione iniziale / riserve</t>
  </si>
  <si>
    <t>rentepercentage</t>
  </si>
  <si>
    <t>%LoanInterest%</t>
  </si>
  <si>
    <t>Per quanto tempo continuerai a ricevere queste indennità/sussidi dopo che avrai avviato la tua azienda?</t>
  </si>
  <si>
    <t>Importo del rimborso mensile</t>
  </si>
  <si>
    <t xml:space="preserve">  anni</t>
  </si>
  <si>
    <t xml:space="preserve">  años</t>
  </si>
  <si>
    <t>Maandelijks terugbetalingsbedrag</t>
  </si>
  <si>
    <t>NB: Per completare il tuo lavoro dovrai integrare le previsioni di vendita della tua impresa per l'anno 2 e 3 compilando le righe "Fatturato prodotto 1 e 2 (se previsto)" dal mese 13 al mese 36."</t>
  </si>
  <si>
    <t>Aftrek voor privévermogen</t>
  </si>
  <si>
    <t>Wat is het salaris dat u maandelijks van het bedrijf ontvangt?</t>
  </si>
  <si>
    <t>Tasse e contributi a carico dell'imprenditore:</t>
  </si>
  <si>
    <t>Versie FP_EL_IT_2019_07_15</t>
  </si>
  <si>
    <t>Costi indiretti mensili (al lordo IVA per chi opera in regime forfettario)</t>
  </si>
  <si>
    <t>Personale (attenzione: compensi degli amministratori, stipendi lordi per il personale, premi e contributi a carico azienda inclusi)</t>
  </si>
  <si>
    <t>Investimenti (al lordo IVA per chi opera in regime forfettario)</t>
  </si>
  <si>
    <t>Attivi fissi (al lordo IVA per chi opera in regime forfettario)</t>
  </si>
  <si>
    <t>Attivi variabili (al lordo IVA per chi opera in regime forfettario)</t>
  </si>
  <si>
    <t>Utile netto</t>
  </si>
  <si>
    <t>Se tale importo è superiore a 25.000€ rivedi i dati inseriti 
nel foglio “Le mie risposte” sezione “Finanziamenti”.</t>
  </si>
  <si>
    <t>Tasso d’interesse indicativo. Per maggior precisione, 
chiedi dettagli alla tua Filiale e riporta il valore qui a fianco.</t>
  </si>
  <si>
    <t>Utile Netto per l'imprenditore</t>
  </si>
  <si>
    <t>Tasse e contributi</t>
  </si>
  <si>
    <t>Dopo che avrai avviato la tua azienda potrai risparmiare questo importo mensile (se il saldo è positivo) o dovrai ricevere uno stipendio netto/dividendi netti pari almeno a questo importo (se il saldo è negativo)</t>
  </si>
  <si>
    <t>Imposte sul reddito di impresa:</t>
  </si>
  <si>
    <t>Imposte sul reddito di impresa</t>
  </si>
  <si>
    <t>Niente</t>
  </si>
  <si>
    <t>L'unica cosa che devi ancora compilare è l'importo stimato per le imposte personali e le imposte sul reddito dell’impresa.  A causa della complessità delle leggi fiscali italiane ti invitiamo a rivolgerti ad un consulente fiscale per l'importo stimato da inserire nel campo “Imposte sul reddito di impresa”: e “Tasse e contributi a carico dell'imprenditore” del foglio di lavoro ‘Previsione di gestione’.</t>
  </si>
  <si>
    <t>Quota interessi rate di restituzione altri finanziamenti</t>
  </si>
  <si>
    <t>Quota capitale rate di restituzione altri finanziamenti</t>
  </si>
  <si>
    <t>Quota interessi rate di restituzione Finanziamento</t>
  </si>
  <si>
    <t>Quota capitale rate di restituzione Finanziamento</t>
  </si>
  <si>
    <t>Interesse effettivi - per APR</t>
  </si>
  <si>
    <t>IVA calcolata sugli investimenti (per gli imprenditori e/o i professionisti che hanno optato per il regime forfettario si prega di modificare l’importo a destra in 0)</t>
  </si>
  <si>
    <t>Entrate</t>
  </si>
  <si>
    <t>Uscite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</si>
</sst>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 #,##0;&quot;€&quot;\ \-#,##0"/>
    <numFmt numFmtId="8" formatCode="&quot;€&quot;\ #,##0.00;[Red]&quot;€&quot;\ \-#,##0.00"/>
    <numFmt numFmtId="164" formatCode="&quot; € &quot;#,##0.00\ ;&quot; € &quot;#,##0.00\-;&quot; € -&quot;#\ ;@\ "/>
    <numFmt numFmtId="165" formatCode="#,##0.0"/>
    <numFmt numFmtId="166" formatCode="&quot;€ &quot;#,##0"/>
    <numFmt numFmtId="167" formatCode="&quot;€ &quot;#,##0;&quot;€ -&quot;#,##0"/>
    <numFmt numFmtId="168" formatCode="&quot;€ &quot;#,##0\ "/>
    <numFmt numFmtId="169" formatCode="&quot;€ &quot;#,##0.00\ ;&quot;€ &quot;#,##0.00\-"/>
    <numFmt numFmtId="170" formatCode="&quot; € &quot;#,##0\ ;&quot; € &quot;#,##0\-;&quot; € - &quot;;@\ "/>
    <numFmt numFmtId="171" formatCode="&quot;€ &quot;#,##0.00\ "/>
    <numFmt numFmtId="172" formatCode="#,##0.00_ ;\-#,##0.00\ "/>
    <numFmt numFmtId="173" formatCode="&quot;€&quot;\ #,##0.00"/>
    <numFmt numFmtId="174" formatCode="&quot;€&quot;\ #,##0"/>
    <numFmt numFmtId="175" formatCode="#,##0_ ;[Red]\-#,##0\ "/>
    <numFmt numFmtId="176" formatCode="#,##0.000000_ ;[Red]\-#,##0.000000\ "/>
    <numFmt numFmtId="177" formatCode="0.00000%"/>
    <numFmt numFmtId="178" formatCode="&quot;€&quot;\ #,##0.00000;[Red]&quot;€&quot;\ \-#,##0.00000"/>
    <numFmt numFmtId="179" formatCode="0.0%"/>
    <numFmt numFmtId="180" formatCode="0.0"/>
  </numFmts>
  <fonts count="76">
    <font>
      <sz val="10"/>
      <name val="Arial"/>
      <family val="2"/>
    </font>
    <font>
      <sz val="10"/>
      <name val="Mangal"/>
      <family val="2"/>
    </font>
    <font>
      <u/>
      <sz val="10"/>
      <color indexed="12"/>
      <name val="Arial"/>
      <family val="2"/>
    </font>
    <font>
      <sz val="11"/>
      <name val="Calibri"/>
      <family val="2"/>
    </font>
    <font>
      <sz val="10"/>
      <color indexed="9"/>
      <name val="Arial"/>
      <family val="2"/>
    </font>
    <font>
      <sz val="10"/>
      <color indexed="9"/>
      <name val="Calibri"/>
      <family val="2"/>
    </font>
    <font>
      <sz val="10"/>
      <color indexed="8"/>
      <name val="Calibri"/>
      <family val="2"/>
    </font>
    <font>
      <b/>
      <sz val="10"/>
      <color indexed="9"/>
      <name val="Calibri"/>
      <family val="2"/>
    </font>
    <font>
      <sz val="10"/>
      <name val="Calibri"/>
      <family val="2"/>
    </font>
    <font>
      <sz val="10"/>
      <name val="Arial"/>
      <family val="2"/>
    </font>
    <font>
      <sz val="11"/>
      <color theme="0"/>
      <name val="Calibri"/>
      <family val="2"/>
      <scheme val="minor"/>
    </font>
    <font>
      <b/>
      <sz val="11"/>
      <color theme="0"/>
      <name val="Calibri"/>
      <family val="2"/>
      <scheme val="minor"/>
    </font>
    <font>
      <sz val="11"/>
      <color rgb="FF232572"/>
      <name val="Calibri"/>
      <family val="2"/>
      <scheme val="minor"/>
    </font>
    <font>
      <sz val="11"/>
      <color rgb="FFFF6600"/>
      <name val="Calibri"/>
      <family val="2"/>
      <scheme val="minor"/>
    </font>
    <font>
      <sz val="11"/>
      <name val="Calibri"/>
      <family val="2"/>
      <scheme val="minor"/>
    </font>
    <font>
      <b/>
      <u/>
      <sz val="11"/>
      <color theme="0"/>
      <name val="Calibri"/>
      <family val="2"/>
      <scheme val="minor"/>
    </font>
    <font>
      <b/>
      <sz val="18"/>
      <color rgb="FFFF6600"/>
      <name val="Calibri"/>
      <family val="2"/>
      <scheme val="minor"/>
    </font>
    <font>
      <sz val="10"/>
      <name val="Calibri"/>
      <family val="2"/>
      <scheme val="minor"/>
    </font>
    <font>
      <sz val="10"/>
      <color rgb="FF232572"/>
      <name val="Calibri"/>
      <family val="2"/>
      <scheme val="minor"/>
    </font>
    <font>
      <b/>
      <sz val="10"/>
      <color rgb="FF232572"/>
      <name val="Calibri"/>
      <family val="2"/>
      <scheme val="minor"/>
    </font>
    <font>
      <b/>
      <sz val="10"/>
      <color rgb="FFFF6600"/>
      <name val="Calibri"/>
      <family val="2"/>
      <scheme val="minor"/>
    </font>
    <font>
      <b/>
      <sz val="10"/>
      <color theme="0"/>
      <name val="Calibri"/>
      <family val="2"/>
      <scheme val="minor"/>
    </font>
    <font>
      <sz val="10"/>
      <color theme="0"/>
      <name val="Arial"/>
      <family val="2"/>
    </font>
    <font>
      <sz val="11"/>
      <color theme="1"/>
      <name val="Calibri"/>
      <family val="2"/>
    </font>
    <font>
      <sz val="10"/>
      <color rgb="FF7030A0"/>
      <name val="Arial"/>
      <family val="2"/>
    </font>
    <font>
      <b/>
      <sz val="14"/>
      <color rgb="FF232572"/>
      <name val="Calibri"/>
      <family val="2"/>
      <scheme val="minor"/>
    </font>
    <font>
      <sz val="10"/>
      <color rgb="FFFF0000"/>
      <name val="Arial"/>
      <family val="2"/>
    </font>
    <font>
      <sz val="10"/>
      <color theme="1"/>
      <name val="Arial"/>
      <family val="2"/>
    </font>
    <font>
      <sz val="11"/>
      <name val="Arial"/>
      <family val="2"/>
    </font>
    <font>
      <b/>
      <sz val="36"/>
      <color indexed="53"/>
      <name val="Arial"/>
      <family val="2"/>
    </font>
    <font>
      <i/>
      <sz val="9"/>
      <color indexed="62"/>
      <name val="Arial"/>
      <family val="2"/>
    </font>
    <font>
      <b/>
      <sz val="11"/>
      <name val="Arial"/>
      <family val="2"/>
    </font>
    <font>
      <sz val="11"/>
      <color rgb="FF232572"/>
      <name val="Arial"/>
      <family val="2"/>
    </font>
    <font>
      <sz val="11"/>
      <color indexed="62"/>
      <name val="Arial"/>
      <family val="2"/>
    </font>
    <font>
      <b/>
      <sz val="11"/>
      <color indexed="62"/>
      <name val="Arial"/>
      <family val="2"/>
    </font>
    <font>
      <i/>
      <sz val="11"/>
      <name val="Arial"/>
      <family val="2"/>
    </font>
    <font>
      <i/>
      <sz val="9"/>
      <name val="Arial"/>
      <family val="2"/>
    </font>
    <font>
      <b/>
      <sz val="10"/>
      <name val="Arial"/>
      <family val="2"/>
    </font>
    <font>
      <i/>
      <sz val="10"/>
      <name val="Arial"/>
      <family val="2"/>
    </font>
    <font>
      <b/>
      <sz val="10"/>
      <color rgb="FFC60E13"/>
      <name val="Arial"/>
      <family val="2"/>
    </font>
    <font>
      <b/>
      <sz val="11"/>
      <color indexed="53"/>
      <name val="Arial"/>
      <family val="2"/>
    </font>
    <font>
      <b/>
      <u/>
      <sz val="11"/>
      <color rgb="FF666666"/>
      <name val="Arial"/>
      <family val="2"/>
    </font>
    <font>
      <sz val="10"/>
      <color indexed="62"/>
      <name val="Arial"/>
      <family val="2"/>
    </font>
    <font>
      <b/>
      <sz val="10"/>
      <color indexed="62"/>
      <name val="Arial"/>
      <family val="2"/>
    </font>
    <font>
      <i/>
      <sz val="10"/>
      <color indexed="62"/>
      <name val="Arial"/>
      <family val="2"/>
    </font>
    <font>
      <sz val="10"/>
      <color indexed="8"/>
      <name val="Arial"/>
      <family val="2"/>
    </font>
    <font>
      <sz val="10"/>
      <color rgb="FF232572"/>
      <name val="Arial"/>
      <family val="2"/>
    </font>
    <font>
      <b/>
      <sz val="30"/>
      <color rgb="FFC60E13"/>
      <name val="Arial"/>
      <family val="2"/>
    </font>
    <font>
      <b/>
      <u/>
      <sz val="10"/>
      <color rgb="FF00A197"/>
      <name val="Arial"/>
      <family val="2"/>
    </font>
    <font>
      <b/>
      <sz val="10"/>
      <color rgb="FFE2001A"/>
      <name val="Arial"/>
      <family val="2"/>
    </font>
    <font>
      <b/>
      <u/>
      <sz val="10"/>
      <name val="Arial"/>
      <family val="2"/>
    </font>
    <font>
      <b/>
      <i/>
      <sz val="10"/>
      <name val="Arial"/>
      <family val="2"/>
    </font>
    <font>
      <sz val="10"/>
      <color rgb="FFC60E13"/>
      <name val="Arial"/>
      <family val="2"/>
    </font>
    <font>
      <i/>
      <sz val="10"/>
      <color theme="0"/>
      <name val="Arial"/>
      <family val="2"/>
    </font>
    <font>
      <b/>
      <sz val="36"/>
      <color indexed="9"/>
      <name val="Arial"/>
      <family val="2"/>
    </font>
    <font>
      <sz val="11"/>
      <color indexed="9"/>
      <name val="Arial"/>
      <family val="2"/>
    </font>
    <font>
      <i/>
      <sz val="8"/>
      <name val="Arial"/>
      <family val="2"/>
    </font>
    <font>
      <sz val="8"/>
      <name val="Arial"/>
      <family val="2"/>
    </font>
    <font>
      <i/>
      <sz val="8"/>
      <color indexed="62"/>
      <name val="Arial"/>
      <family val="2"/>
    </font>
    <font>
      <b/>
      <sz val="8"/>
      <name val="Arial"/>
      <family val="2"/>
    </font>
    <font>
      <sz val="8"/>
      <color theme="0"/>
      <name val="Arial"/>
      <family val="2"/>
    </font>
    <font>
      <b/>
      <sz val="8"/>
      <color indexed="10"/>
      <name val="Arial"/>
      <family val="2"/>
    </font>
    <font>
      <i/>
      <sz val="8"/>
      <color rgb="FF00A197"/>
      <name val="Arial"/>
      <family val="2"/>
    </font>
    <font>
      <b/>
      <u/>
      <sz val="8"/>
      <name val="Arial"/>
      <family val="2"/>
    </font>
    <font>
      <b/>
      <sz val="11"/>
      <color indexed="29"/>
      <name val="Arial"/>
      <family val="2"/>
    </font>
    <font>
      <u/>
      <sz val="16"/>
      <color indexed="12"/>
      <name val="Arial"/>
      <family val="2"/>
    </font>
    <font>
      <b/>
      <sz val="10"/>
      <color theme="1"/>
      <name val="Arial"/>
      <family val="2"/>
    </font>
    <font>
      <sz val="20"/>
      <color rgb="FFC60E13"/>
      <name val="Arial"/>
      <family val="2"/>
    </font>
    <font>
      <b/>
      <sz val="14"/>
      <color rgb="FF00A197"/>
      <name val="Arial"/>
      <family val="2"/>
    </font>
    <font>
      <b/>
      <sz val="10"/>
      <color theme="0"/>
      <name val="Arial"/>
      <family val="2"/>
    </font>
    <font>
      <b/>
      <sz val="24"/>
      <color theme="0"/>
      <name val="Arial"/>
      <family val="2"/>
    </font>
    <font>
      <b/>
      <sz val="22"/>
      <color rgb="FFC60E13"/>
      <name val="Arial"/>
      <family val="2"/>
    </font>
    <font>
      <sz val="11"/>
      <color rgb="FFC60E13"/>
      <name val="Arial"/>
      <family val="2"/>
    </font>
    <font>
      <b/>
      <sz val="11"/>
      <color rgb="FFC60E13"/>
      <name val="Arial"/>
      <family val="2"/>
    </font>
    <font>
      <sz val="10"/>
      <name val="Arial Unicode MS"/>
    </font>
    <font>
      <i/>
      <sz val="8"/>
      <color theme="0"/>
      <name val="Arial"/>
      <family val="2"/>
    </font>
  </fonts>
  <fills count="35">
    <fill>
      <patternFill patternType="none"/>
    </fill>
    <fill>
      <patternFill patternType="gray125"/>
    </fill>
    <fill>
      <patternFill patternType="solid">
        <fgColor indexed="9"/>
        <bgColor indexed="26"/>
      </patternFill>
    </fill>
    <fill>
      <patternFill patternType="solid">
        <fgColor indexed="62"/>
        <bgColor indexed="56"/>
      </patternFill>
    </fill>
    <fill>
      <patternFill patternType="solid">
        <fgColor indexed="27"/>
        <bgColor indexed="42"/>
      </patternFill>
    </fill>
    <fill>
      <patternFill patternType="solid">
        <fgColor indexed="26"/>
        <bgColor indexed="27"/>
      </patternFill>
    </fill>
    <fill>
      <patternFill patternType="solid">
        <fgColor theme="4" tint="0.79998168889431442"/>
        <bgColor indexed="27"/>
      </patternFill>
    </fill>
    <fill>
      <patternFill patternType="solid">
        <fgColor theme="0" tint="-0.14999847407452621"/>
        <bgColor indexed="44"/>
      </patternFill>
    </fill>
    <fill>
      <patternFill patternType="solid">
        <fgColor rgb="FF666666"/>
        <bgColor indexed="23"/>
      </patternFill>
    </fill>
    <fill>
      <patternFill patternType="solid">
        <fgColor rgb="FF666666"/>
        <bgColor indexed="26"/>
      </patternFill>
    </fill>
    <fill>
      <patternFill patternType="solid">
        <fgColor rgb="FF666666"/>
        <bgColor indexed="64"/>
      </patternFill>
    </fill>
    <fill>
      <patternFill patternType="solid">
        <fgColor theme="0" tint="-0.14999847407452621"/>
        <bgColor indexed="31"/>
      </patternFill>
    </fill>
    <fill>
      <patternFill patternType="solid">
        <fgColor theme="0" tint="-0.14999847407452621"/>
        <bgColor indexed="42"/>
      </patternFill>
    </fill>
    <fill>
      <patternFill patternType="solid">
        <fgColor theme="0"/>
        <bgColor indexed="31"/>
      </patternFill>
    </fill>
    <fill>
      <patternFill patternType="solid">
        <fgColor theme="0"/>
        <bgColor indexed="42"/>
      </patternFill>
    </fill>
    <fill>
      <patternFill patternType="solid">
        <fgColor theme="0"/>
        <bgColor indexed="26"/>
      </patternFill>
    </fill>
    <fill>
      <patternFill patternType="solid">
        <fgColor theme="0"/>
        <bgColor indexed="62"/>
      </patternFill>
    </fill>
    <fill>
      <patternFill patternType="solid">
        <fgColor theme="0"/>
        <bgColor indexed="64"/>
      </patternFill>
    </fill>
    <fill>
      <patternFill patternType="solid">
        <fgColor rgb="FF23257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56"/>
      </patternFill>
    </fill>
    <fill>
      <patternFill patternType="solid">
        <fgColor rgb="FF7030A0"/>
        <bgColor indexed="64"/>
      </patternFill>
    </fill>
    <fill>
      <patternFill patternType="solid">
        <fgColor theme="0" tint="-4.9989318521683403E-2"/>
        <bgColor indexed="27"/>
      </patternFill>
    </fill>
    <fill>
      <patternFill patternType="solid">
        <fgColor rgb="FFFFFF00"/>
        <bgColor indexed="64"/>
      </patternFill>
    </fill>
    <fill>
      <patternFill patternType="solid">
        <fgColor theme="0" tint="-4.9989318521683403E-2"/>
        <bgColor indexed="26"/>
      </patternFill>
    </fill>
    <fill>
      <patternFill patternType="solid">
        <fgColor theme="0" tint="-4.9989318521683403E-2"/>
        <bgColor indexed="42"/>
      </patternFill>
    </fill>
    <fill>
      <patternFill patternType="solid">
        <fgColor theme="0" tint="-4.9989318521683403E-2"/>
        <bgColor indexed="31"/>
      </patternFill>
    </fill>
    <fill>
      <patternFill patternType="solid">
        <fgColor rgb="FFCCECEA"/>
        <bgColor indexed="42"/>
      </patternFill>
    </fill>
    <fill>
      <patternFill patternType="solid">
        <fgColor rgb="FFCCECEA"/>
        <bgColor indexed="27"/>
      </patternFill>
    </fill>
    <fill>
      <patternFill patternType="solid">
        <fgColor theme="0" tint="-4.9989318521683403E-2"/>
        <bgColor indexed="44"/>
      </patternFill>
    </fill>
    <fill>
      <patternFill patternType="solid">
        <fgColor rgb="FFC60E13"/>
        <bgColor indexed="56"/>
      </patternFill>
    </fill>
    <fill>
      <patternFill patternType="solid">
        <fgColor rgb="FFC60E13"/>
        <bgColor indexed="42"/>
      </patternFill>
    </fill>
    <fill>
      <patternFill patternType="solid">
        <fgColor rgb="FFC60E13"/>
        <bgColor indexed="62"/>
      </patternFill>
    </fill>
    <fill>
      <patternFill patternType="solid">
        <fgColor theme="0"/>
        <bgColor indexed="27"/>
      </patternFill>
    </fill>
  </fills>
  <borders count="44">
    <border>
      <left/>
      <right/>
      <top/>
      <bottom/>
      <diagonal/>
    </border>
    <border>
      <left style="double">
        <color indexed="54"/>
      </left>
      <right style="double">
        <color indexed="54"/>
      </right>
      <top style="double">
        <color indexed="54"/>
      </top>
      <bottom style="double">
        <color indexed="54"/>
      </bottom>
      <diagonal/>
    </border>
    <border>
      <left/>
      <right/>
      <top/>
      <bottom style="thin">
        <color indexed="54"/>
      </bottom>
      <diagonal/>
    </border>
    <border>
      <left/>
      <right/>
      <top style="thin">
        <color indexed="55"/>
      </top>
      <bottom/>
      <diagonal/>
    </border>
    <border>
      <left style="thin">
        <color indexed="64"/>
      </left>
      <right style="thin">
        <color indexed="64"/>
      </right>
      <top style="thin">
        <color indexed="64"/>
      </top>
      <bottom style="thin">
        <color indexed="64"/>
      </bottom>
      <diagonal/>
    </border>
    <border>
      <left style="double">
        <color theme="0" tint="-0.34998626667073579"/>
      </left>
      <right/>
      <top/>
      <bottom/>
      <diagonal/>
    </border>
    <border>
      <left style="double">
        <color rgb="FF666666"/>
      </left>
      <right style="thin">
        <color rgb="FF666666"/>
      </right>
      <top style="double">
        <color rgb="FF666666"/>
      </top>
      <bottom style="thin">
        <color rgb="FF666666"/>
      </bottom>
      <diagonal/>
    </border>
    <border>
      <left style="thin">
        <color rgb="FF666666"/>
      </left>
      <right style="thin">
        <color rgb="FF666666"/>
      </right>
      <top style="double">
        <color rgb="FF666666"/>
      </top>
      <bottom style="thin">
        <color rgb="FF666666"/>
      </bottom>
      <diagonal/>
    </border>
    <border>
      <left style="thin">
        <color rgb="FF666666"/>
      </left>
      <right style="double">
        <color rgb="FF666666"/>
      </right>
      <top style="double">
        <color rgb="FF666666"/>
      </top>
      <bottom style="thin">
        <color rgb="FF666666"/>
      </bottom>
      <diagonal/>
    </border>
    <border>
      <left style="double">
        <color rgb="FF666666"/>
      </left>
      <right style="thin">
        <color rgb="FF666666"/>
      </right>
      <top style="thin">
        <color rgb="FF666666"/>
      </top>
      <bottom style="thin">
        <color rgb="FF666666"/>
      </bottom>
      <diagonal/>
    </border>
    <border>
      <left style="thin">
        <color rgb="FF666666"/>
      </left>
      <right style="thin">
        <color rgb="FF666666"/>
      </right>
      <top style="thin">
        <color rgb="FF666666"/>
      </top>
      <bottom style="thin">
        <color rgb="FF666666"/>
      </bottom>
      <diagonal/>
    </border>
    <border>
      <left style="thin">
        <color rgb="FF666666"/>
      </left>
      <right style="double">
        <color rgb="FF666666"/>
      </right>
      <top style="thin">
        <color rgb="FF666666"/>
      </top>
      <bottom style="thin">
        <color rgb="FF666666"/>
      </bottom>
      <diagonal/>
    </border>
    <border>
      <left style="double">
        <color rgb="FF666666"/>
      </left>
      <right style="thin">
        <color rgb="FF666666"/>
      </right>
      <top style="thin">
        <color rgb="FF666666"/>
      </top>
      <bottom style="double">
        <color rgb="FF666666"/>
      </bottom>
      <diagonal/>
    </border>
    <border>
      <left style="thin">
        <color rgb="FF666666"/>
      </left>
      <right style="thin">
        <color rgb="FF666666"/>
      </right>
      <top style="thin">
        <color rgb="FF666666"/>
      </top>
      <bottom style="double">
        <color rgb="FF666666"/>
      </bottom>
      <diagonal/>
    </border>
    <border>
      <left style="thin">
        <color rgb="FF666666"/>
      </left>
      <right style="double">
        <color rgb="FF666666"/>
      </right>
      <top style="thin">
        <color rgb="FF666666"/>
      </top>
      <bottom style="double">
        <color rgb="FF666666"/>
      </bottom>
      <diagonal/>
    </border>
    <border>
      <left style="double">
        <color rgb="FF666666"/>
      </left>
      <right style="thin">
        <color rgb="FF666666"/>
      </right>
      <top style="thin">
        <color rgb="FF666666"/>
      </top>
      <bottom/>
      <diagonal/>
    </border>
    <border>
      <left style="thin">
        <color rgb="FF666666"/>
      </left>
      <right style="thin">
        <color rgb="FF666666"/>
      </right>
      <top style="thin">
        <color rgb="FF666666"/>
      </top>
      <bottom/>
      <diagonal/>
    </border>
    <border>
      <left style="thin">
        <color rgb="FF666666"/>
      </left>
      <right style="thin">
        <color rgb="FF666666"/>
      </right>
      <top/>
      <bottom style="double">
        <color rgb="FF666666"/>
      </bottom>
      <diagonal/>
    </border>
    <border>
      <left/>
      <right style="thin">
        <color theme="0"/>
      </right>
      <top/>
      <bottom style="thin">
        <color rgb="FFC5C6ED"/>
      </bottom>
      <diagonal/>
    </border>
    <border>
      <left style="thin">
        <color theme="0"/>
      </left>
      <right/>
      <top/>
      <bottom style="thin">
        <color rgb="FFC5C6ED"/>
      </bottom>
      <diagonal/>
    </border>
    <border>
      <left/>
      <right style="thin">
        <color theme="0"/>
      </right>
      <top style="thin">
        <color rgb="FFC5C6ED"/>
      </top>
      <bottom style="thin">
        <color rgb="FFC5C6ED"/>
      </bottom>
      <diagonal/>
    </border>
    <border>
      <left style="thin">
        <color theme="0"/>
      </left>
      <right style="thin">
        <color theme="0"/>
      </right>
      <top style="thin">
        <color rgb="FFC5C6ED"/>
      </top>
      <bottom style="thin">
        <color rgb="FFC5C6ED"/>
      </bottom>
      <diagonal/>
    </border>
    <border>
      <left style="thin">
        <color theme="0"/>
      </left>
      <right/>
      <top style="thin">
        <color rgb="FFC5C6ED"/>
      </top>
      <bottom style="thin">
        <color rgb="FFC5C6ED"/>
      </bottom>
      <diagonal/>
    </border>
    <border>
      <left/>
      <right/>
      <top style="thin">
        <color rgb="FFC5C6ED"/>
      </top>
      <bottom style="thin">
        <color rgb="FFC5C6ED"/>
      </bottom>
      <diagonal/>
    </border>
    <border>
      <left style="thin">
        <color rgb="FF7030A0"/>
      </left>
      <right style="thin">
        <color rgb="FF7030A0"/>
      </right>
      <top style="thin">
        <color rgb="FF7030A0"/>
      </top>
      <bottom style="thin">
        <color rgb="FF7030A0"/>
      </bottom>
      <diagonal/>
    </border>
    <border>
      <left/>
      <right/>
      <top/>
      <bottom style="thin">
        <color rgb="FF00A197"/>
      </bottom>
      <diagonal/>
    </border>
    <border>
      <left/>
      <right style="thin">
        <color theme="0"/>
      </right>
      <top/>
      <bottom style="thin">
        <color rgb="FF00A197"/>
      </bottom>
      <diagonal/>
    </border>
    <border>
      <left style="thin">
        <color theme="0"/>
      </left>
      <right/>
      <top/>
      <bottom style="thin">
        <color rgb="FF00A197"/>
      </bottom>
      <diagonal/>
    </border>
    <border>
      <left/>
      <right style="thin">
        <color theme="0"/>
      </right>
      <top style="thin">
        <color rgb="FF00A197"/>
      </top>
      <bottom style="thin">
        <color rgb="FF00A197"/>
      </bottom>
      <diagonal/>
    </border>
    <border>
      <left style="thin">
        <color theme="0"/>
      </left>
      <right/>
      <top style="thin">
        <color rgb="FF00A197"/>
      </top>
      <bottom style="thin">
        <color rgb="FF00A197"/>
      </bottom>
      <diagonal/>
    </border>
    <border>
      <left style="thin">
        <color theme="0"/>
      </left>
      <right style="thin">
        <color theme="0"/>
      </right>
      <top/>
      <bottom style="thin">
        <color rgb="FF00A197"/>
      </bottom>
      <diagonal/>
    </border>
    <border>
      <left style="thin">
        <color theme="0"/>
      </left>
      <right style="thin">
        <color theme="0"/>
      </right>
      <top style="thin">
        <color rgb="FF00A197"/>
      </top>
      <bottom style="thin">
        <color rgb="FF00A197"/>
      </bottom>
      <diagonal/>
    </border>
    <border>
      <left/>
      <right/>
      <top style="thin">
        <color rgb="FF00A197"/>
      </top>
      <bottom style="thin">
        <color rgb="FF00A197"/>
      </bottom>
      <diagonal/>
    </border>
    <border>
      <left style="thin">
        <color theme="0"/>
      </left>
      <right/>
      <top style="thin">
        <color rgb="FFC5C6ED"/>
      </top>
      <bottom style="thin">
        <color rgb="FF00A197"/>
      </bottom>
      <diagonal/>
    </border>
    <border>
      <left style="thin">
        <color rgb="FF00A197"/>
      </left>
      <right/>
      <top style="thin">
        <color rgb="FF00A197"/>
      </top>
      <bottom/>
      <diagonal/>
    </border>
    <border>
      <left/>
      <right/>
      <top style="thin">
        <color rgb="FF00A197"/>
      </top>
      <bottom/>
      <diagonal/>
    </border>
    <border>
      <left/>
      <right style="thin">
        <color rgb="FF00A197"/>
      </right>
      <top style="thin">
        <color rgb="FF00A197"/>
      </top>
      <bottom/>
      <diagonal/>
    </border>
    <border>
      <left style="thin">
        <color rgb="FF00A197"/>
      </left>
      <right/>
      <top/>
      <bottom/>
      <diagonal/>
    </border>
    <border>
      <left/>
      <right style="thin">
        <color rgb="FF00A197"/>
      </right>
      <top/>
      <bottom/>
      <diagonal/>
    </border>
    <border>
      <left style="thin">
        <color rgb="FF00A197"/>
      </left>
      <right/>
      <top/>
      <bottom style="thin">
        <color rgb="FF00A197"/>
      </bottom>
      <diagonal/>
    </border>
    <border>
      <left/>
      <right style="thin">
        <color rgb="FF00A197"/>
      </right>
      <top/>
      <bottom style="thin">
        <color rgb="FF00A197"/>
      </bottom>
      <diagonal/>
    </border>
    <border>
      <left/>
      <right style="thin">
        <color theme="0"/>
      </right>
      <top style="thin">
        <color rgb="FF00A197"/>
      </top>
      <bottom/>
      <diagonal/>
    </border>
    <border>
      <left style="thin">
        <color theme="0"/>
      </left>
      <right/>
      <top style="thin">
        <color rgb="FF00A197"/>
      </top>
      <bottom/>
      <diagonal/>
    </border>
    <border>
      <left style="thin">
        <color rgb="FF666666"/>
      </left>
      <right/>
      <top style="double">
        <color rgb="FF666666"/>
      </top>
      <bottom style="thin">
        <color rgb="FF666666"/>
      </bottom>
      <diagonal/>
    </border>
  </borders>
  <cellStyleXfs count="11">
    <xf numFmtId="0" fontId="0" fillId="0" borderId="0"/>
    <xf numFmtId="0" fontId="1" fillId="0" borderId="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1" fillId="0" borderId="0" applyFill="0" applyBorder="0" applyAlignment="0" applyProtection="0"/>
    <xf numFmtId="9" fontId="1" fillId="0" borderId="0" applyFill="0" applyBorder="0" applyAlignment="0" applyProtection="0"/>
    <xf numFmtId="0" fontId="9" fillId="0" borderId="0"/>
    <xf numFmtId="0" fontId="9" fillId="0" borderId="0"/>
    <xf numFmtId="164" fontId="1" fillId="0" borderId="0" applyFill="0" applyBorder="0" applyAlignment="0" applyProtection="0"/>
    <xf numFmtId="0" fontId="23" fillId="0" borderId="0"/>
  </cellStyleXfs>
  <cellXfs count="452">
    <xf numFmtId="0" fontId="0" fillId="0" borderId="0" xfId="0"/>
    <xf numFmtId="0" fontId="0" fillId="2" borderId="0" xfId="0" applyFill="1"/>
    <xf numFmtId="0" fontId="0" fillId="2" borderId="0" xfId="0" applyFill="1" applyAlignment="1">
      <alignment vertical="center"/>
    </xf>
    <xf numFmtId="0" fontId="0" fillId="2" borderId="0" xfId="0" applyFill="1" applyAlignment="1">
      <alignment vertical="center" wrapText="1"/>
    </xf>
    <xf numFmtId="0" fontId="6" fillId="0" borderId="0" xfId="0" applyFont="1"/>
    <xf numFmtId="0" fontId="7" fillId="3" borderId="0" xfId="0" applyFont="1" applyFill="1"/>
    <xf numFmtId="0" fontId="6" fillId="2" borderId="0" xfId="0" applyFont="1" applyFill="1"/>
    <xf numFmtId="0" fontId="8" fillId="2" borderId="0" xfId="0" applyFont="1" applyFill="1"/>
    <xf numFmtId="0" fontId="5" fillId="3" borderId="0" xfId="0" applyFont="1" applyFill="1"/>
    <xf numFmtId="0" fontId="5" fillId="3" borderId="0" xfId="0" applyFont="1" applyFill="1" applyAlignment="1">
      <alignment horizontal="left"/>
    </xf>
    <xf numFmtId="9" fontId="6" fillId="2" borderId="0" xfId="0" applyNumberFormat="1" applyFont="1" applyFill="1"/>
    <xf numFmtId="0" fontId="8" fillId="0" borderId="0" xfId="7" applyFont="1"/>
    <xf numFmtId="0" fontId="4" fillId="8" borderId="0" xfId="0" applyFont="1" applyFill="1"/>
    <xf numFmtId="0" fontId="0" fillId="9" borderId="0" xfId="0" applyFill="1"/>
    <xf numFmtId="0" fontId="0" fillId="10" borderId="0" xfId="0" applyFill="1"/>
    <xf numFmtId="0" fontId="0" fillId="9" borderId="0" xfId="0" applyFill="1" applyAlignment="1">
      <alignment wrapText="1"/>
    </xf>
    <xf numFmtId="168" fontId="0" fillId="2" borderId="0" xfId="0" applyNumberFormat="1" applyFill="1"/>
    <xf numFmtId="0" fontId="14" fillId="0" borderId="0" xfId="0" applyFont="1"/>
    <xf numFmtId="0" fontId="11" fillId="18" borderId="6" xfId="0" applyFont="1" applyFill="1" applyBorder="1" applyAlignment="1">
      <alignment horizontal="left"/>
    </xf>
    <xf numFmtId="2" fontId="15" fillId="18" borderId="7" xfId="0" applyNumberFormat="1" applyFont="1" applyFill="1" applyBorder="1"/>
    <xf numFmtId="0" fontId="10" fillId="18" borderId="7" xfId="0" applyFont="1" applyFill="1" applyBorder="1"/>
    <xf numFmtId="0" fontId="10" fillId="18" borderId="8" xfId="0" applyFont="1" applyFill="1" applyBorder="1"/>
    <xf numFmtId="0" fontId="12" fillId="17" borderId="9" xfId="0" applyFont="1" applyFill="1" applyBorder="1" applyAlignment="1">
      <alignment horizontal="left"/>
    </xf>
    <xf numFmtId="10" fontId="12" fillId="19" borderId="10" xfId="5" applyNumberFormat="1" applyFont="1" applyFill="1" applyBorder="1"/>
    <xf numFmtId="10" fontId="12" fillId="19" borderId="10" xfId="0" applyNumberFormat="1" applyFont="1" applyFill="1" applyBorder="1"/>
    <xf numFmtId="10" fontId="12" fillId="19" borderId="11" xfId="5" applyNumberFormat="1" applyFont="1" applyFill="1" applyBorder="1"/>
    <xf numFmtId="4" fontId="12" fillId="19" borderId="10" xfId="0" applyNumberFormat="1" applyFont="1" applyFill="1" applyBorder="1"/>
    <xf numFmtId="4" fontId="12" fillId="19" borderId="11" xfId="0" applyNumberFormat="1" applyFont="1" applyFill="1" applyBorder="1"/>
    <xf numFmtId="0" fontId="12" fillId="17" borderId="9" xfId="0" applyFont="1" applyFill="1" applyBorder="1"/>
    <xf numFmtId="4" fontId="12" fillId="20" borderId="10" xfId="0" applyNumberFormat="1" applyFont="1" applyFill="1" applyBorder="1"/>
    <xf numFmtId="4" fontId="12" fillId="20" borderId="11" xfId="0" applyNumberFormat="1" applyFont="1" applyFill="1" applyBorder="1"/>
    <xf numFmtId="0" fontId="12" fillId="17" borderId="12" xfId="0" applyFont="1" applyFill="1" applyBorder="1"/>
    <xf numFmtId="4" fontId="12" fillId="20" borderId="13" xfId="0" applyNumberFormat="1" applyFont="1" applyFill="1" applyBorder="1"/>
    <xf numFmtId="4" fontId="12" fillId="20" borderId="14" xfId="0" applyNumberFormat="1" applyFont="1" applyFill="1" applyBorder="1"/>
    <xf numFmtId="0" fontId="11" fillId="18" borderId="6" xfId="0" applyFont="1" applyFill="1" applyBorder="1"/>
    <xf numFmtId="0" fontId="11" fillId="18" borderId="7" xfId="0" applyFont="1" applyFill="1" applyBorder="1"/>
    <xf numFmtId="0" fontId="11" fillId="18" borderId="8" xfId="0" applyFont="1" applyFill="1" applyBorder="1"/>
    <xf numFmtId="10" fontId="12" fillId="20" borderId="10" xfId="5" applyNumberFormat="1" applyFont="1" applyFill="1" applyBorder="1"/>
    <xf numFmtId="10" fontId="12" fillId="20" borderId="10" xfId="0" applyNumberFormat="1" applyFont="1" applyFill="1" applyBorder="1"/>
    <xf numFmtId="10" fontId="12" fillId="20" borderId="11" xfId="5" applyNumberFormat="1" applyFont="1" applyFill="1" applyBorder="1"/>
    <xf numFmtId="0" fontId="12" fillId="17" borderId="12" xfId="0" applyFont="1" applyFill="1" applyBorder="1" applyAlignment="1">
      <alignment horizontal="left"/>
    </xf>
    <xf numFmtId="0" fontId="16" fillId="0" borderId="0" xfId="0" applyFont="1"/>
    <xf numFmtId="0" fontId="17" fillId="0" borderId="0" xfId="0" applyFont="1"/>
    <xf numFmtId="0" fontId="18" fillId="0" borderId="0" xfId="0" applyFont="1"/>
    <xf numFmtId="14" fontId="18" fillId="0" borderId="0" xfId="0" applyNumberFormat="1" applyFont="1"/>
    <xf numFmtId="0" fontId="12" fillId="0" borderId="9" xfId="0" applyFont="1" applyBorder="1"/>
    <xf numFmtId="172" fontId="13" fillId="19" borderId="10" xfId="0" applyNumberFormat="1" applyFont="1" applyFill="1" applyBorder="1"/>
    <xf numFmtId="0" fontId="12" fillId="0" borderId="12" xfId="0" applyFont="1" applyBorder="1"/>
    <xf numFmtId="0" fontId="14" fillId="0" borderId="0" xfId="0" applyFont="1" applyAlignment="1">
      <alignment horizontal="left"/>
    </xf>
    <xf numFmtId="0" fontId="19" fillId="0" borderId="0" xfId="0" applyFont="1"/>
    <xf numFmtId="0" fontId="20" fillId="0" borderId="0" xfId="0" applyFont="1"/>
    <xf numFmtId="0" fontId="19" fillId="0" borderId="0" xfId="7" applyFont="1"/>
    <xf numFmtId="173" fontId="20" fillId="0" borderId="0" xfId="7" applyNumberFormat="1" applyFont="1"/>
    <xf numFmtId="0" fontId="18" fillId="0" borderId="0" xfId="7" applyFont="1"/>
    <xf numFmtId="174" fontId="19" fillId="0" borderId="0" xfId="7" applyNumberFormat="1" applyFont="1"/>
    <xf numFmtId="174" fontId="20" fillId="0" borderId="0" xfId="7" applyNumberFormat="1" applyFont="1"/>
    <xf numFmtId="0" fontId="20" fillId="0" borderId="0" xfId="7" applyFont="1"/>
    <xf numFmtId="0" fontId="18" fillId="0" borderId="4" xfId="7" applyFont="1" applyBorder="1"/>
    <xf numFmtId="174" fontId="18" fillId="19" borderId="4" xfId="7" applyNumberFormat="1" applyFont="1" applyFill="1" applyBorder="1"/>
    <xf numFmtId="173" fontId="18" fillId="0" borderId="0" xfId="7" applyNumberFormat="1" applyFont="1"/>
    <xf numFmtId="3" fontId="18" fillId="19" borderId="4" xfId="7" applyNumberFormat="1" applyFont="1" applyFill="1" applyBorder="1"/>
    <xf numFmtId="10" fontId="18" fillId="19" borderId="4" xfId="7" applyNumberFormat="1" applyFont="1" applyFill="1" applyBorder="1"/>
    <xf numFmtId="5" fontId="18" fillId="19" borderId="4" xfId="7" applyNumberFormat="1" applyFont="1" applyFill="1" applyBorder="1" applyAlignment="1">
      <alignment horizontal="right"/>
    </xf>
    <xf numFmtId="174" fontId="18" fillId="0" borderId="0" xfId="7" applyNumberFormat="1" applyFont="1"/>
    <xf numFmtId="0" fontId="6" fillId="17" borderId="0" xfId="0" applyFont="1" applyFill="1"/>
    <xf numFmtId="0" fontId="12" fillId="0" borderId="15" xfId="0" applyFont="1" applyBorder="1"/>
    <xf numFmtId="0" fontId="12" fillId="0" borderId="9" xfId="0" quotePrefix="1" applyFont="1" applyBorder="1"/>
    <xf numFmtId="4" fontId="12" fillId="19" borderId="16" xfId="0" applyNumberFormat="1" applyFont="1" applyFill="1" applyBorder="1"/>
    <xf numFmtId="4" fontId="12" fillId="19" borderId="17" xfId="0" applyNumberFormat="1" applyFont="1" applyFill="1" applyBorder="1"/>
    <xf numFmtId="10" fontId="14" fillId="0" borderId="0" xfId="0" applyNumberFormat="1" applyFont="1"/>
    <xf numFmtId="0" fontId="0" fillId="2" borderId="0" xfId="0" applyFill="1" applyAlignment="1">
      <alignment vertical="top"/>
    </xf>
    <xf numFmtId="0" fontId="0" fillId="2" borderId="0" xfId="0" applyFill="1" applyAlignment="1">
      <alignment vertical="top" wrapText="1"/>
    </xf>
    <xf numFmtId="0" fontId="23" fillId="0" borderId="0" xfId="10"/>
    <xf numFmtId="0" fontId="23" fillId="22" borderId="0" xfId="10" applyFill="1"/>
    <xf numFmtId="0" fontId="23" fillId="22" borderId="0" xfId="10" applyFill="1" applyAlignment="1">
      <alignment horizontal="center" vertical="center" wrapText="1"/>
    </xf>
    <xf numFmtId="0" fontId="23" fillId="0" borderId="0" xfId="10" applyAlignment="1">
      <alignment horizontal="center" vertical="center" wrapText="1"/>
    </xf>
    <xf numFmtId="0" fontId="23" fillId="22" borderId="0" xfId="10" applyFill="1" applyAlignment="1">
      <alignment horizontal="center" vertical="center"/>
    </xf>
    <xf numFmtId="175" fontId="23" fillId="0" borderId="0" xfId="10" applyNumberFormat="1" applyAlignment="1">
      <alignment horizontal="center" vertical="center"/>
    </xf>
    <xf numFmtId="14" fontId="23" fillId="0" borderId="0" xfId="10" applyNumberFormat="1" applyAlignment="1">
      <alignment horizontal="center" vertical="center"/>
    </xf>
    <xf numFmtId="176" fontId="23" fillId="0" borderId="0" xfId="10" applyNumberFormat="1" applyAlignment="1">
      <alignment horizontal="right" vertical="center"/>
    </xf>
    <xf numFmtId="0" fontId="23" fillId="22" borderId="0" xfId="10" applyFill="1" applyAlignment="1">
      <alignment horizontal="right" vertical="center"/>
    </xf>
    <xf numFmtId="8" fontId="23" fillId="0" borderId="0" xfId="10" applyNumberFormat="1" applyAlignment="1">
      <alignment horizontal="right" vertical="center"/>
    </xf>
    <xf numFmtId="177" fontId="23" fillId="0" borderId="0" xfId="10" applyNumberFormat="1" applyAlignment="1">
      <alignment horizontal="right" vertical="center"/>
    </xf>
    <xf numFmtId="8" fontId="23" fillId="0" borderId="0" xfId="10" applyNumberFormat="1" applyAlignment="1">
      <alignment horizontal="center" vertical="center"/>
    </xf>
    <xf numFmtId="178" fontId="23" fillId="0" borderId="0" xfId="10" applyNumberFormat="1" applyAlignment="1">
      <alignment horizontal="center" vertical="center"/>
    </xf>
    <xf numFmtId="0" fontId="23" fillId="0" borderId="0" xfId="10" applyAlignment="1">
      <alignment horizontal="center" vertical="center"/>
    </xf>
    <xf numFmtId="177" fontId="23" fillId="0" borderId="0" xfId="10" applyNumberFormat="1" applyAlignment="1">
      <alignment horizontal="center" vertical="center"/>
    </xf>
    <xf numFmtId="10" fontId="23" fillId="0" borderId="0" xfId="10" applyNumberFormat="1" applyAlignment="1">
      <alignment horizontal="center" vertical="center"/>
    </xf>
    <xf numFmtId="0" fontId="0" fillId="0" borderId="0" xfId="0" applyAlignment="1">
      <alignment vertical="top" wrapText="1"/>
    </xf>
    <xf numFmtId="0" fontId="24" fillId="0" borderId="0" xfId="0" applyFont="1" applyAlignment="1">
      <alignment vertical="top" wrapText="1"/>
    </xf>
    <xf numFmtId="0" fontId="1" fillId="0" borderId="0" xfId="3" applyAlignment="1">
      <alignment vertical="top" wrapText="1"/>
    </xf>
    <xf numFmtId="0" fontId="0" fillId="2" borderId="0" xfId="0" applyFill="1" applyAlignment="1">
      <alignment horizontal="right" vertical="top"/>
    </xf>
    <xf numFmtId="0" fontId="0" fillId="9" borderId="0" xfId="0" applyFill="1" applyAlignment="1">
      <alignment vertical="top"/>
    </xf>
    <xf numFmtId="9" fontId="6" fillId="0" borderId="0" xfId="0" applyNumberFormat="1" applyFont="1"/>
    <xf numFmtId="179" fontId="6" fillId="2" borderId="0" xfId="0" applyNumberFormat="1" applyFont="1" applyFill="1"/>
    <xf numFmtId="179" fontId="6" fillId="0" borderId="0" xfId="0" applyNumberFormat="1" applyFont="1"/>
    <xf numFmtId="0" fontId="26" fillId="0" borderId="0" xfId="0" applyFont="1" applyAlignment="1">
      <alignment horizontal="left"/>
    </xf>
    <xf numFmtId="0" fontId="26" fillId="0" borderId="0" xfId="0" applyFont="1"/>
    <xf numFmtId="0" fontId="25" fillId="17" borderId="0" xfId="7" applyFont="1" applyFill="1" applyAlignment="1" applyProtection="1">
      <alignment horizontal="center" vertical="center" wrapText="1"/>
      <protection locked="0"/>
    </xf>
    <xf numFmtId="0" fontId="3" fillId="0" borderId="0" xfId="0" applyFont="1" applyAlignment="1">
      <alignment horizontal="left"/>
    </xf>
    <xf numFmtId="0" fontId="0" fillId="0" borderId="0" xfId="0" applyAlignment="1">
      <alignment horizontal="left"/>
    </xf>
    <xf numFmtId="0" fontId="0" fillId="0" borderId="24" xfId="0" applyBorder="1"/>
    <xf numFmtId="0" fontId="24" fillId="0" borderId="0" xfId="0" applyFont="1" applyAlignment="1">
      <alignment horizontal="left"/>
    </xf>
    <xf numFmtId="0" fontId="24" fillId="0" borderId="0" xfId="0" applyFont="1"/>
    <xf numFmtId="0" fontId="0" fillId="24" borderId="0" xfId="0" applyFill="1" applyAlignment="1">
      <alignment vertical="top" wrapText="1"/>
    </xf>
    <xf numFmtId="0" fontId="28" fillId="2" borderId="0" xfId="7" applyFont="1" applyFill="1"/>
    <xf numFmtId="0" fontId="31" fillId="2" borderId="0" xfId="7" applyFont="1" applyFill="1"/>
    <xf numFmtId="0" fontId="28" fillId="2" borderId="0" xfId="7" applyFont="1" applyFill="1" applyAlignment="1">
      <alignment vertical="center"/>
    </xf>
    <xf numFmtId="172" fontId="28" fillId="2" borderId="0" xfId="7" applyNumberFormat="1" applyFont="1" applyFill="1"/>
    <xf numFmtId="0" fontId="35" fillId="2" borderId="0" xfId="7" applyFont="1" applyFill="1"/>
    <xf numFmtId="0" fontId="36" fillId="2" borderId="0" xfId="7" applyFont="1" applyFill="1" applyAlignment="1">
      <alignment vertical="top"/>
    </xf>
    <xf numFmtId="0" fontId="28" fillId="2" borderId="0" xfId="7" applyFont="1" applyFill="1" applyAlignment="1">
      <alignment horizontal="center"/>
    </xf>
    <xf numFmtId="0" fontId="31" fillId="2" borderId="0" xfId="7" applyFont="1" applyFill="1" applyAlignment="1">
      <alignment horizontal="center"/>
    </xf>
    <xf numFmtId="9" fontId="31" fillId="2" borderId="0" xfId="7" applyNumberFormat="1" applyFont="1" applyFill="1" applyAlignment="1">
      <alignment horizontal="center"/>
    </xf>
    <xf numFmtId="0" fontId="9" fillId="2" borderId="0" xfId="7" applyFill="1" applyAlignment="1">
      <alignment horizontal="center"/>
    </xf>
    <xf numFmtId="0" fontId="9" fillId="2" borderId="0" xfId="7" applyFill="1"/>
    <xf numFmtId="0" fontId="38" fillId="2" borderId="0" xfId="7" applyFont="1" applyFill="1"/>
    <xf numFmtId="0" fontId="9" fillId="16" borderId="26" xfId="7" applyFill="1" applyBorder="1" applyAlignment="1">
      <alignment horizontal="left"/>
    </xf>
    <xf numFmtId="0" fontId="9" fillId="16" borderId="28" xfId="7" applyFill="1" applyBorder="1" applyAlignment="1">
      <alignment horizontal="left"/>
    </xf>
    <xf numFmtId="180" fontId="9" fillId="25" borderId="27" xfId="7" applyNumberFormat="1" applyFill="1" applyBorder="1" applyAlignment="1">
      <alignment horizontal="center" vertical="center"/>
    </xf>
    <xf numFmtId="1" fontId="9" fillId="25" borderId="29" xfId="7" applyNumberFormat="1" applyFill="1" applyBorder="1" applyAlignment="1">
      <alignment horizontal="center" vertical="center"/>
    </xf>
    <xf numFmtId="10" fontId="9" fillId="25" borderId="29" xfId="7" applyNumberFormat="1" applyFill="1" applyBorder="1" applyAlignment="1">
      <alignment horizontal="center"/>
    </xf>
    <xf numFmtId="169" fontId="9" fillId="25" borderId="29" xfId="7" applyNumberFormat="1" applyFill="1" applyBorder="1" applyAlignment="1">
      <alignment horizontal="center"/>
    </xf>
    <xf numFmtId="0" fontId="9" fillId="25" borderId="29" xfId="7" applyFill="1" applyBorder="1" applyAlignment="1">
      <alignment horizontal="center"/>
    </xf>
    <xf numFmtId="0" fontId="9" fillId="14" borderId="26" xfId="7" applyFill="1" applyBorder="1"/>
    <xf numFmtId="0" fontId="9" fillId="14" borderId="30" xfId="7" applyFill="1" applyBorder="1"/>
    <xf numFmtId="0" fontId="9" fillId="14" borderId="28" xfId="7" applyFill="1" applyBorder="1"/>
    <xf numFmtId="0" fontId="9" fillId="14" borderId="31" xfId="7" applyFill="1" applyBorder="1"/>
    <xf numFmtId="0" fontId="9" fillId="2" borderId="32" xfId="7" applyFill="1" applyBorder="1" applyAlignment="1">
      <alignment horizontal="center"/>
    </xf>
    <xf numFmtId="171" fontId="9" fillId="26" borderId="27" xfId="7" applyNumberFormat="1" applyFill="1" applyBorder="1"/>
    <xf numFmtId="171" fontId="9" fillId="26" borderId="29" xfId="7" applyNumberFormat="1" applyFill="1" applyBorder="1"/>
    <xf numFmtId="0" fontId="9" fillId="25" borderId="32" xfId="7" applyFill="1" applyBorder="1" applyAlignment="1">
      <alignment horizontal="center"/>
    </xf>
    <xf numFmtId="0" fontId="37" fillId="16" borderId="32" xfId="7" applyFont="1" applyFill="1" applyBorder="1" applyAlignment="1">
      <alignment horizontal="left" vertical="center"/>
    </xf>
    <xf numFmtId="0" fontId="37" fillId="16" borderId="32" xfId="7" applyFont="1" applyFill="1" applyBorder="1" applyAlignment="1">
      <alignment horizontal="center" vertical="center"/>
    </xf>
    <xf numFmtId="0" fontId="9" fillId="14" borderId="32" xfId="7" applyFill="1" applyBorder="1" applyAlignment="1">
      <alignment wrapText="1"/>
    </xf>
    <xf numFmtId="0" fontId="9" fillId="14" borderId="32" xfId="7" applyFill="1" applyBorder="1"/>
    <xf numFmtId="168" fontId="9" fillId="25" borderId="32" xfId="1" applyNumberFormat="1" applyFont="1" applyFill="1" applyBorder="1"/>
    <xf numFmtId="164" fontId="9" fillId="25" borderId="32" xfId="1" applyNumberFormat="1" applyFont="1" applyFill="1" applyBorder="1"/>
    <xf numFmtId="164" fontId="9" fillId="26" borderId="32" xfId="1" applyNumberFormat="1" applyFont="1" applyFill="1" applyBorder="1"/>
    <xf numFmtId="164" fontId="9" fillId="25" borderId="32" xfId="7" applyNumberFormat="1" applyFill="1" applyBorder="1"/>
    <xf numFmtId="164" fontId="9" fillId="26" borderId="32" xfId="7" applyNumberFormat="1" applyFill="1" applyBorder="1"/>
    <xf numFmtId="164" fontId="37" fillId="25" borderId="32" xfId="1" applyNumberFormat="1" applyFont="1" applyFill="1" applyBorder="1"/>
    <xf numFmtId="164" fontId="37" fillId="26" borderId="32" xfId="1" applyNumberFormat="1" applyFont="1" applyFill="1" applyBorder="1"/>
    <xf numFmtId="0" fontId="39" fillId="14" borderId="32" xfId="7" applyFont="1" applyFill="1" applyBorder="1" applyAlignment="1">
      <alignment wrapText="1"/>
    </xf>
    <xf numFmtId="0" fontId="40" fillId="2" borderId="0" xfId="7" applyFont="1" applyFill="1" applyAlignment="1">
      <alignment vertical="center"/>
    </xf>
    <xf numFmtId="0" fontId="41" fillId="17" borderId="0" xfId="0" applyFont="1" applyFill="1"/>
    <xf numFmtId="0" fontId="9" fillId="2" borderId="0" xfId="3" applyFont="1" applyFill="1"/>
    <xf numFmtId="0" fontId="42" fillId="2" borderId="0" xfId="7" applyFont="1" applyFill="1"/>
    <xf numFmtId="0" fontId="42" fillId="15" borderId="0" xfId="7" applyFont="1" applyFill="1"/>
    <xf numFmtId="170" fontId="42" fillId="2" borderId="0" xfId="7" applyNumberFormat="1" applyFont="1" applyFill="1"/>
    <xf numFmtId="0" fontId="43" fillId="15" borderId="0" xfId="7" applyFont="1" applyFill="1"/>
    <xf numFmtId="170" fontId="43" fillId="2" borderId="0" xfId="7" applyNumberFormat="1" applyFont="1" applyFill="1"/>
    <xf numFmtId="0" fontId="42" fillId="15" borderId="18" xfId="7" applyFont="1" applyFill="1" applyBorder="1"/>
    <xf numFmtId="170" fontId="42" fillId="12" borderId="19" xfId="7" applyNumberFormat="1" applyFont="1" applyFill="1" applyBorder="1"/>
    <xf numFmtId="0" fontId="44" fillId="15" borderId="0" xfId="7" applyFont="1" applyFill="1"/>
    <xf numFmtId="0" fontId="45" fillId="2" borderId="0" xfId="7" applyFont="1" applyFill="1"/>
    <xf numFmtId="0" fontId="46" fillId="2" borderId="0" xfId="7" applyFont="1" applyFill="1" applyAlignment="1">
      <alignment horizontal="left"/>
    </xf>
    <xf numFmtId="0" fontId="9" fillId="15" borderId="20" xfId="7" applyFill="1" applyBorder="1"/>
    <xf numFmtId="0" fontId="9" fillId="15" borderId="28" xfId="7" applyFill="1" applyBorder="1"/>
    <xf numFmtId="0" fontId="37" fillId="13" borderId="28" xfId="7" applyFont="1" applyFill="1" applyBorder="1"/>
    <xf numFmtId="0" fontId="38" fillId="15" borderId="28" xfId="7" applyFont="1" applyFill="1" applyBorder="1"/>
    <xf numFmtId="170" fontId="37" fillId="26" borderId="29" xfId="7" applyNumberFormat="1" applyFont="1" applyFill="1" applyBorder="1"/>
    <xf numFmtId="170" fontId="9" fillId="26" borderId="29" xfId="7" applyNumberFormat="1" applyFill="1" applyBorder="1"/>
    <xf numFmtId="170" fontId="37" fillId="27" borderId="29" xfId="7" applyNumberFormat="1" applyFont="1" applyFill="1" applyBorder="1"/>
    <xf numFmtId="9" fontId="38" fillId="26" borderId="29" xfId="7" applyNumberFormat="1" applyFont="1" applyFill="1" applyBorder="1"/>
    <xf numFmtId="0" fontId="48" fillId="17" borderId="0" xfId="0" applyFont="1" applyFill="1"/>
    <xf numFmtId="0" fontId="37" fillId="15" borderId="26" xfId="7" applyFont="1" applyFill="1" applyBorder="1"/>
    <xf numFmtId="170" fontId="37" fillId="26" borderId="27" xfId="7" applyNumberFormat="1" applyFont="1" applyFill="1" applyBorder="1"/>
    <xf numFmtId="170" fontId="37" fillId="26" borderId="33" xfId="7" applyNumberFormat="1" applyFont="1" applyFill="1" applyBorder="1"/>
    <xf numFmtId="170" fontId="9" fillId="26" borderId="22" xfId="7" applyNumberFormat="1" applyFill="1" applyBorder="1"/>
    <xf numFmtId="0" fontId="37" fillId="13" borderId="18" xfId="7" applyFont="1" applyFill="1" applyBorder="1"/>
    <xf numFmtId="170" fontId="37" fillId="26" borderId="19" xfId="7" applyNumberFormat="1" applyFont="1" applyFill="1" applyBorder="1"/>
    <xf numFmtId="0" fontId="49" fillId="2" borderId="0" xfId="0" applyFont="1" applyFill="1" applyAlignment="1">
      <alignment horizontal="left"/>
    </xf>
    <xf numFmtId="0" fontId="9" fillId="15" borderId="25" xfId="7" applyFill="1" applyBorder="1"/>
    <xf numFmtId="170" fontId="9" fillId="26" borderId="25" xfId="7" applyNumberFormat="1" applyFill="1" applyBorder="1"/>
    <xf numFmtId="0" fontId="9" fillId="15" borderId="32" xfId="7" applyFill="1" applyBorder="1"/>
    <xf numFmtId="170" fontId="9" fillId="26" borderId="32" xfId="7" applyNumberFormat="1" applyFill="1" applyBorder="1"/>
    <xf numFmtId="0" fontId="9" fillId="15" borderId="32" xfId="7" applyFill="1" applyBorder="1" applyAlignment="1">
      <alignment vertical="center"/>
    </xf>
    <xf numFmtId="170" fontId="9" fillId="26" borderId="32" xfId="7" applyNumberFormat="1" applyFill="1" applyBorder="1" applyAlignment="1">
      <alignment vertical="center"/>
    </xf>
    <xf numFmtId="0" fontId="37" fillId="13" borderId="32" xfId="7" applyFont="1" applyFill="1" applyBorder="1"/>
    <xf numFmtId="170" fontId="37" fillId="26" borderId="32" xfId="7" applyNumberFormat="1" applyFont="1" applyFill="1" applyBorder="1"/>
    <xf numFmtId="0" fontId="37" fillId="13" borderId="25" xfId="7" applyFont="1" applyFill="1" applyBorder="1"/>
    <xf numFmtId="170" fontId="37" fillId="26" borderId="25" xfId="7" applyNumberFormat="1" applyFont="1" applyFill="1" applyBorder="1"/>
    <xf numFmtId="0" fontId="39" fillId="13" borderId="25" xfId="7" applyFont="1" applyFill="1" applyBorder="1"/>
    <xf numFmtId="0" fontId="28" fillId="2" borderId="0" xfId="8" applyFont="1" applyFill="1"/>
    <xf numFmtId="0" fontId="37" fillId="2" borderId="0" xfId="7" applyFont="1" applyFill="1"/>
    <xf numFmtId="3" fontId="37" fillId="2" borderId="0" xfId="7" applyNumberFormat="1" applyFont="1" applyFill="1"/>
    <xf numFmtId="167" fontId="9" fillId="2" borderId="0" xfId="7" applyNumberFormat="1" applyFill="1"/>
    <xf numFmtId="166" fontId="9" fillId="2" borderId="0" xfId="7" applyNumberFormat="1" applyFill="1"/>
    <xf numFmtId="10" fontId="51" fillId="2" borderId="0" xfId="7" applyNumberFormat="1" applyFont="1" applyFill="1"/>
    <xf numFmtId="1" fontId="9" fillId="2" borderId="0" xfId="9" applyNumberFormat="1" applyFont="1" applyFill="1" applyAlignment="1">
      <alignment horizontal="right"/>
    </xf>
    <xf numFmtId="0" fontId="38" fillId="2" borderId="0" xfId="0" applyFont="1" applyFill="1" applyAlignment="1">
      <alignment horizontal="right" vertical="center"/>
    </xf>
    <xf numFmtId="0" fontId="37" fillId="6" borderId="23" xfId="0" applyFont="1" applyFill="1" applyBorder="1" applyAlignment="1" applyProtection="1">
      <alignment horizontal="center"/>
      <protection locked="0"/>
    </xf>
    <xf numFmtId="0" fontId="9" fillId="2" borderId="0" xfId="7" applyFill="1" applyAlignment="1">
      <alignment horizontal="left"/>
    </xf>
    <xf numFmtId="0" fontId="39" fillId="2" borderId="0" xfId="7" applyFont="1" applyFill="1" applyAlignment="1">
      <alignment horizontal="right"/>
    </xf>
    <xf numFmtId="0" fontId="37" fillId="28" borderId="23" xfId="0" applyFont="1" applyFill="1" applyBorder="1" applyAlignment="1" applyProtection="1">
      <alignment horizontal="center"/>
      <protection locked="0"/>
    </xf>
    <xf numFmtId="0" fontId="0" fillId="28" borderId="23" xfId="0" applyFill="1" applyBorder="1" applyAlignment="1" applyProtection="1">
      <alignment horizontal="center"/>
      <protection locked="0"/>
    </xf>
    <xf numFmtId="168" fontId="37" fillId="26" borderId="23" xfId="7" applyNumberFormat="1" applyFont="1" applyFill="1" applyBorder="1" applyAlignment="1">
      <alignment horizontal="center"/>
    </xf>
    <xf numFmtId="0" fontId="39" fillId="21" borderId="26" xfId="7" applyFont="1" applyFill="1" applyBorder="1"/>
    <xf numFmtId="0" fontId="9" fillId="2" borderId="28" xfId="7" applyFill="1" applyBorder="1"/>
    <xf numFmtId="166" fontId="9" fillId="28" borderId="31" xfId="7" applyNumberFormat="1" applyFill="1" applyBorder="1"/>
    <xf numFmtId="166" fontId="9" fillId="27" borderId="29" xfId="9" applyNumberFormat="1" applyFont="1" applyFill="1" applyBorder="1" applyAlignment="1">
      <alignment horizontal="right"/>
    </xf>
    <xf numFmtId="166" fontId="9" fillId="2" borderId="31" xfId="7" applyNumberFormat="1" applyFill="1" applyBorder="1"/>
    <xf numFmtId="166" fontId="9" fillId="28" borderId="29" xfId="7" applyNumberFormat="1" applyFill="1" applyBorder="1"/>
    <xf numFmtId="0" fontId="39" fillId="13" borderId="28" xfId="7" applyFont="1" applyFill="1" applyBorder="1"/>
    <xf numFmtId="166" fontId="37" fillId="28" borderId="29" xfId="7" applyNumberFormat="1" applyFont="1" applyFill="1" applyBorder="1"/>
    <xf numFmtId="0" fontId="9" fillId="21" borderId="27" xfId="7" applyFill="1" applyBorder="1"/>
    <xf numFmtId="0" fontId="39" fillId="13" borderId="26" xfId="7" applyFont="1" applyFill="1" applyBorder="1"/>
    <xf numFmtId="166" fontId="37" fillId="28" borderId="27" xfId="7" applyNumberFormat="1" applyFont="1" applyFill="1" applyBorder="1"/>
    <xf numFmtId="166" fontId="9" fillId="27" borderId="31" xfId="9" applyNumberFormat="1" applyFont="1" applyFill="1" applyBorder="1" applyAlignment="1">
      <alignment horizontal="right"/>
    </xf>
    <xf numFmtId="166" fontId="9" fillId="27" borderId="30" xfId="7" applyNumberFormat="1" applyFill="1" applyBorder="1"/>
    <xf numFmtId="166" fontId="37" fillId="27" borderId="27" xfId="7" applyNumberFormat="1" applyFont="1" applyFill="1" applyBorder="1"/>
    <xf numFmtId="0" fontId="9" fillId="2" borderId="28" xfId="7" applyFill="1" applyBorder="1" applyAlignment="1">
      <alignment horizontal="left"/>
    </xf>
    <xf numFmtId="10" fontId="9" fillId="28" borderId="29" xfId="5" applyNumberFormat="1" applyFont="1" applyFill="1" applyBorder="1"/>
    <xf numFmtId="169" fontId="9" fillId="28" borderId="29" xfId="7" applyNumberFormat="1" applyFill="1" applyBorder="1"/>
    <xf numFmtId="0" fontId="9" fillId="2" borderId="41" xfId="7" applyFill="1" applyBorder="1"/>
    <xf numFmtId="10" fontId="9" fillId="14" borderId="42" xfId="5" applyNumberFormat="1" applyFont="1" applyFill="1" applyBorder="1"/>
    <xf numFmtId="0" fontId="54" fillId="8" borderId="0" xfId="7" applyFont="1" applyFill="1" applyAlignment="1">
      <alignment vertical="center"/>
    </xf>
    <xf numFmtId="0" fontId="9" fillId="9" borderId="0" xfId="0" applyFont="1" applyFill="1"/>
    <xf numFmtId="0" fontId="9" fillId="10" borderId="0" xfId="0" applyFont="1" applyFill="1"/>
    <xf numFmtId="0" fontId="9" fillId="0" borderId="0" xfId="0" applyFont="1"/>
    <xf numFmtId="0" fontId="9" fillId="2" borderId="0" xfId="0" applyFont="1" applyFill="1" applyAlignment="1">
      <alignment vertical="top"/>
    </xf>
    <xf numFmtId="0" fontId="33" fillId="2" borderId="0" xfId="0" applyFont="1" applyFill="1"/>
    <xf numFmtId="0" fontId="9" fillId="2" borderId="0" xfId="0" applyFont="1" applyFill="1"/>
    <xf numFmtId="0" fontId="55" fillId="8" borderId="0" xfId="0" applyFont="1" applyFill="1"/>
    <xf numFmtId="0" fontId="44" fillId="2" borderId="0" xfId="0" applyFont="1" applyFill="1" applyAlignment="1">
      <alignment horizontal="right" vertical="center" wrapText="1"/>
    </xf>
    <xf numFmtId="0" fontId="44" fillId="2" borderId="0" xfId="0" applyFont="1" applyFill="1" applyAlignment="1">
      <alignment horizontal="right"/>
    </xf>
    <xf numFmtId="0" fontId="9" fillId="2" borderId="0" xfId="0" applyFont="1" applyFill="1" applyAlignment="1">
      <alignment wrapText="1"/>
    </xf>
    <xf numFmtId="0" fontId="9" fillId="9" borderId="0" xfId="0" applyFont="1" applyFill="1" applyAlignment="1">
      <alignment vertical="top"/>
    </xf>
    <xf numFmtId="0" fontId="9" fillId="9" borderId="0" xfId="0" applyFont="1" applyFill="1" applyAlignment="1">
      <alignment wrapText="1"/>
    </xf>
    <xf numFmtId="0" fontId="33" fillId="9" borderId="0" xfId="0" applyFont="1" applyFill="1"/>
    <xf numFmtId="0" fontId="42" fillId="2" borderId="0" xfId="0" applyFont="1" applyFill="1"/>
    <xf numFmtId="0" fontId="42" fillId="2" borderId="0" xfId="0" applyFont="1" applyFill="1" applyAlignment="1">
      <alignment vertical="top" wrapText="1"/>
    </xf>
    <xf numFmtId="0" fontId="44" fillId="2" borderId="0" xfId="0" applyFont="1" applyFill="1" applyAlignment="1">
      <alignment horizontal="right" vertical="top"/>
    </xf>
    <xf numFmtId="0" fontId="39" fillId="0" borderId="25" xfId="0" applyFont="1" applyBorder="1" applyAlignment="1">
      <alignment wrapText="1"/>
    </xf>
    <xf numFmtId="0" fontId="38" fillId="2" borderId="0" xfId="0" applyFont="1" applyFill="1" applyAlignment="1">
      <alignment horizontal="right" vertical="center" wrapText="1"/>
    </xf>
    <xf numFmtId="0" fontId="38" fillId="2" borderId="0" xfId="0" applyFont="1" applyFill="1" applyAlignment="1">
      <alignment horizontal="right" vertical="top"/>
    </xf>
    <xf numFmtId="0" fontId="38" fillId="2" borderId="0" xfId="0" applyFont="1" applyFill="1" applyAlignment="1">
      <alignment horizontal="right"/>
    </xf>
    <xf numFmtId="0" fontId="37" fillId="2" borderId="0" xfId="0" applyFont="1" applyFill="1" applyAlignment="1">
      <alignment vertical="center" wrapText="1"/>
    </xf>
    <xf numFmtId="0" fontId="37" fillId="2" borderId="0" xfId="0" applyFont="1" applyFill="1" applyAlignment="1">
      <alignment horizontal="center"/>
    </xf>
    <xf numFmtId="0" fontId="0" fillId="8" borderId="0" xfId="0" applyFill="1"/>
    <xf numFmtId="9" fontId="37" fillId="6" borderId="23" xfId="0" applyNumberFormat="1" applyFont="1" applyFill="1" applyBorder="1" applyAlignment="1" applyProtection="1">
      <alignment horizontal="center" vertical="center"/>
      <protection locked="0"/>
    </xf>
    <xf numFmtId="9" fontId="37" fillId="7" borderId="23" xfId="0" applyNumberFormat="1" applyFont="1" applyFill="1" applyBorder="1" applyAlignment="1">
      <alignment horizontal="center" vertical="center"/>
    </xf>
    <xf numFmtId="9" fontId="0" fillId="2" borderId="0" xfId="0" applyNumberFormat="1" applyFill="1"/>
    <xf numFmtId="0" fontId="38" fillId="2" borderId="0" xfId="0" applyFont="1" applyFill="1" applyAlignment="1">
      <alignment horizontal="left"/>
    </xf>
    <xf numFmtId="0" fontId="0" fillId="15" borderId="0" xfId="0" applyFill="1" applyAlignment="1">
      <alignment vertical="center" wrapText="1"/>
    </xf>
    <xf numFmtId="0" fontId="0" fillId="8" borderId="0" xfId="0" applyFill="1" applyAlignment="1">
      <alignment wrapText="1"/>
    </xf>
    <xf numFmtId="0" fontId="38" fillId="2" borderId="0" xfId="0" applyFont="1" applyFill="1" applyAlignment="1">
      <alignment horizontal="right" wrapText="1"/>
    </xf>
    <xf numFmtId="168" fontId="0" fillId="2" borderId="0" xfId="0" applyNumberFormat="1" applyFill="1" applyAlignment="1">
      <alignment wrapText="1"/>
    </xf>
    <xf numFmtId="0" fontId="37" fillId="2" borderId="2" xfId="0" applyFont="1" applyFill="1" applyBorder="1" applyAlignment="1">
      <alignment wrapText="1"/>
    </xf>
    <xf numFmtId="10" fontId="38" fillId="2" borderId="0" xfId="0" applyNumberFormat="1" applyFont="1" applyFill="1" applyAlignment="1">
      <alignment horizontal="right"/>
    </xf>
    <xf numFmtId="0" fontId="38" fillId="2" borderId="0" xfId="0" applyFont="1" applyFill="1" applyAlignment="1">
      <alignment vertical="center" wrapText="1"/>
    </xf>
    <xf numFmtId="0" fontId="37" fillId="2" borderId="0" xfId="0" applyFont="1" applyFill="1" applyAlignment="1">
      <alignment horizontal="center" vertical="center"/>
    </xf>
    <xf numFmtId="0" fontId="37" fillId="5" borderId="1" xfId="0" applyFont="1" applyFill="1" applyBorder="1" applyAlignment="1" applyProtection="1">
      <alignment horizontal="center" vertical="center"/>
      <protection locked="0"/>
    </xf>
    <xf numFmtId="9" fontId="0" fillId="2" borderId="0" xfId="0" applyNumberFormat="1" applyFill="1" applyAlignment="1">
      <alignment vertical="center"/>
    </xf>
    <xf numFmtId="0" fontId="37" fillId="2" borderId="0" xfId="0" applyFont="1" applyFill="1"/>
    <xf numFmtId="168" fontId="37" fillId="5" borderId="1" xfId="0" applyNumberFormat="1" applyFont="1" applyFill="1" applyBorder="1" applyAlignment="1" applyProtection="1">
      <alignment horizontal="center" vertical="center"/>
      <protection locked="0"/>
    </xf>
    <xf numFmtId="0" fontId="37" fillId="2" borderId="0" xfId="0" applyFont="1" applyFill="1" applyAlignment="1">
      <alignment wrapText="1"/>
    </xf>
    <xf numFmtId="0" fontId="0" fillId="2" borderId="3" xfId="0" applyFill="1" applyBorder="1" applyAlignment="1">
      <alignment wrapText="1"/>
    </xf>
    <xf numFmtId="0" fontId="28" fillId="9" borderId="0" xfId="0" applyFont="1" applyFill="1"/>
    <xf numFmtId="0" fontId="28" fillId="8" borderId="0" xfId="0" applyFont="1" applyFill="1"/>
    <xf numFmtId="0" fontId="39" fillId="2" borderId="0" xfId="0" applyFont="1" applyFill="1" applyAlignment="1">
      <alignment horizontal="center"/>
    </xf>
    <xf numFmtId="0" fontId="22" fillId="15" borderId="0" xfId="0" applyFont="1" applyFill="1"/>
    <xf numFmtId="0" fontId="56" fillId="2" borderId="0" xfId="0" applyFont="1" applyFill="1" applyAlignment="1">
      <alignment horizontal="right" vertical="center" wrapText="1"/>
    </xf>
    <xf numFmtId="0" fontId="56" fillId="2" borderId="0" xfId="0" applyFont="1" applyFill="1" applyAlignment="1">
      <alignment horizontal="right" vertical="center"/>
    </xf>
    <xf numFmtId="0" fontId="57" fillId="2" borderId="0" xfId="0" applyFont="1" applyFill="1" applyAlignment="1">
      <alignment vertical="center" wrapText="1"/>
    </xf>
    <xf numFmtId="0" fontId="56" fillId="2" borderId="0" xfId="0" applyFont="1" applyFill="1" applyAlignment="1">
      <alignment horizontal="left" vertical="center"/>
    </xf>
    <xf numFmtId="0" fontId="58" fillId="2" borderId="0" xfId="0" applyFont="1" applyFill="1" applyAlignment="1">
      <alignment horizontal="right" vertical="center" wrapText="1"/>
    </xf>
    <xf numFmtId="0" fontId="59" fillId="2" borderId="0" xfId="0" applyFont="1" applyFill="1" applyAlignment="1">
      <alignment vertical="center" wrapText="1"/>
    </xf>
    <xf numFmtId="0" fontId="60" fillId="15" borderId="0" xfId="0" applyFont="1" applyFill="1" applyAlignment="1">
      <alignment vertical="center"/>
    </xf>
    <xf numFmtId="0" fontId="57" fillId="9" borderId="0" xfId="0" applyFont="1" applyFill="1" applyAlignment="1">
      <alignment vertical="center" wrapText="1"/>
    </xf>
    <xf numFmtId="0" fontId="57" fillId="2" borderId="0" xfId="0" applyFont="1" applyFill="1" applyAlignment="1">
      <alignment vertical="center"/>
    </xf>
    <xf numFmtId="0" fontId="61" fillId="2" borderId="0" xfId="0" applyFont="1" applyFill="1" applyAlignment="1">
      <alignment vertical="center" wrapText="1"/>
    </xf>
    <xf numFmtId="0" fontId="62" fillId="2" borderId="0" xfId="0" applyFont="1" applyFill="1" applyAlignment="1">
      <alignment horizontal="center" vertical="center"/>
    </xf>
    <xf numFmtId="0" fontId="57" fillId="2" borderId="0" xfId="0" applyFont="1" applyFill="1" applyAlignment="1">
      <alignment wrapText="1"/>
    </xf>
    <xf numFmtId="0" fontId="59" fillId="2" borderId="0" xfId="0" applyFont="1" applyFill="1" applyAlignment="1">
      <alignment vertical="center"/>
    </xf>
    <xf numFmtId="0" fontId="63" fillId="17" borderId="0" xfId="0" applyFont="1" applyFill="1"/>
    <xf numFmtId="0" fontId="57" fillId="9" borderId="0" xfId="0" applyFont="1" applyFill="1" applyAlignment="1">
      <alignment vertical="center"/>
    </xf>
    <xf numFmtId="0" fontId="39" fillId="2" borderId="0" xfId="0" applyFont="1" applyFill="1" applyAlignment="1">
      <alignment horizontal="center" vertical="center"/>
    </xf>
    <xf numFmtId="168" fontId="37" fillId="29" borderId="32" xfId="0" applyNumberFormat="1" applyFont="1" applyFill="1" applyBorder="1" applyAlignment="1" applyProtection="1">
      <alignment horizontal="center" vertical="center"/>
      <protection locked="0"/>
    </xf>
    <xf numFmtId="9" fontId="37" fillId="29" borderId="32" xfId="0" applyNumberFormat="1" applyFont="1" applyFill="1" applyBorder="1" applyAlignment="1" applyProtection="1">
      <alignment horizontal="center" vertical="center"/>
      <protection locked="0"/>
    </xf>
    <xf numFmtId="0" fontId="37" fillId="29" borderId="32" xfId="0" applyFont="1" applyFill="1" applyBorder="1" applyAlignment="1" applyProtection="1">
      <alignment horizontal="center" vertical="center"/>
      <protection locked="0"/>
    </xf>
    <xf numFmtId="168" fontId="37" fillId="29" borderId="32" xfId="0" applyNumberFormat="1" applyFont="1" applyFill="1" applyBorder="1" applyAlignment="1" applyProtection="1">
      <alignment horizontal="center"/>
      <protection locked="0"/>
    </xf>
    <xf numFmtId="0" fontId="37" fillId="29" borderId="32" xfId="0" applyFont="1" applyFill="1" applyBorder="1" applyAlignment="1" applyProtection="1">
      <alignment horizontal="center"/>
      <protection locked="0"/>
    </xf>
    <xf numFmtId="168" fontId="53" fillId="2" borderId="0" xfId="0" applyNumberFormat="1" applyFont="1" applyFill="1" applyAlignment="1">
      <alignment horizontal="center" wrapText="1"/>
    </xf>
    <xf numFmtId="168" fontId="37" fillId="30" borderId="32" xfId="0" applyNumberFormat="1" applyFont="1" applyFill="1" applyBorder="1" applyAlignment="1">
      <alignment horizontal="center"/>
    </xf>
    <xf numFmtId="168" fontId="37" fillId="30" borderId="32" xfId="0" applyNumberFormat="1" applyFont="1" applyFill="1" applyBorder="1" applyAlignment="1">
      <alignment horizontal="center" vertical="center"/>
    </xf>
    <xf numFmtId="0" fontId="0" fillId="2" borderId="25" xfId="0" applyFill="1" applyBorder="1" applyAlignment="1">
      <alignment wrapText="1"/>
    </xf>
    <xf numFmtId="0" fontId="57" fillId="2" borderId="25" xfId="0" applyFont="1" applyFill="1" applyBorder="1" applyAlignment="1">
      <alignment vertical="center" wrapText="1"/>
    </xf>
    <xf numFmtId="168" fontId="0" fillId="2" borderId="25" xfId="0" applyNumberFormat="1" applyFill="1" applyBorder="1" applyAlignment="1">
      <alignment wrapText="1"/>
    </xf>
    <xf numFmtId="0" fontId="57" fillId="2" borderId="25" xfId="0" applyFont="1" applyFill="1" applyBorder="1" applyAlignment="1">
      <alignment vertical="center"/>
    </xf>
    <xf numFmtId="0" fontId="0" fillId="2" borderId="25" xfId="0" applyFill="1" applyBorder="1"/>
    <xf numFmtId="0" fontId="0" fillId="2" borderId="25" xfId="0" applyFill="1" applyBorder="1" applyAlignment="1">
      <alignment vertical="center"/>
    </xf>
    <xf numFmtId="0" fontId="28" fillId="9" borderId="0" xfId="7" applyFont="1" applyFill="1"/>
    <xf numFmtId="0" fontId="33" fillId="2" borderId="0" xfId="7" applyFont="1" applyFill="1" applyAlignment="1">
      <alignment vertical="center"/>
    </xf>
    <xf numFmtId="0" fontId="34" fillId="2" borderId="0" xfId="7" applyFont="1" applyFill="1" applyAlignment="1">
      <alignment vertical="center"/>
    </xf>
    <xf numFmtId="0" fontId="28" fillId="9" borderId="0" xfId="7" applyFont="1" applyFill="1" applyAlignment="1">
      <alignment vertical="center"/>
    </xf>
    <xf numFmtId="0" fontId="33" fillId="2" borderId="0" xfId="7" applyFont="1" applyFill="1" applyAlignment="1">
      <alignment horizontal="center" vertical="center"/>
    </xf>
    <xf numFmtId="3" fontId="33" fillId="2" borderId="0" xfId="7" applyNumberFormat="1" applyFont="1" applyFill="1" applyAlignment="1">
      <alignment horizontal="right" vertical="center"/>
    </xf>
    <xf numFmtId="0" fontId="34" fillId="2" borderId="0" xfId="3" applyFont="1" applyFill="1" applyAlignment="1">
      <alignment vertical="center" wrapText="1"/>
    </xf>
    <xf numFmtId="0" fontId="64" fillId="9" borderId="0" xfId="7" applyFont="1" applyFill="1" applyAlignment="1">
      <alignment vertical="center"/>
    </xf>
    <xf numFmtId="0" fontId="32" fillId="17" borderId="0" xfId="7" applyFont="1" applyFill="1" applyAlignment="1">
      <alignment vertical="center" wrapText="1"/>
    </xf>
    <xf numFmtId="0" fontId="32" fillId="17" borderId="5" xfId="7" applyFont="1" applyFill="1" applyBorder="1" applyAlignment="1">
      <alignment vertical="center"/>
    </xf>
    <xf numFmtId="0" fontId="32" fillId="17" borderId="0" xfId="7" applyFont="1" applyFill="1" applyAlignment="1">
      <alignment vertical="center"/>
    </xf>
    <xf numFmtId="0" fontId="65" fillId="2" borderId="0" xfId="4" applyFont="1" applyFill="1" applyAlignment="1">
      <alignment vertical="center"/>
    </xf>
    <xf numFmtId="0" fontId="30" fillId="2" borderId="0" xfId="7" applyFont="1" applyFill="1" applyAlignment="1">
      <alignment vertical="center" wrapText="1"/>
    </xf>
    <xf numFmtId="0" fontId="33" fillId="9" borderId="0" xfId="7" applyFont="1" applyFill="1" applyAlignment="1">
      <alignment vertical="center"/>
    </xf>
    <xf numFmtId="0" fontId="27" fillId="2" borderId="0" xfId="7" applyFont="1" applyFill="1" applyAlignment="1">
      <alignment vertical="center"/>
    </xf>
    <xf numFmtId="0" fontId="66" fillId="2" borderId="0" xfId="7" applyFont="1" applyFill="1" applyAlignment="1">
      <alignment vertical="top" wrapText="1"/>
    </xf>
    <xf numFmtId="0" fontId="27" fillId="9" borderId="0" xfId="7" applyFont="1" applyFill="1" applyAlignment="1">
      <alignment vertical="center"/>
    </xf>
    <xf numFmtId="0" fontId="67" fillId="17" borderId="0" xfId="7" applyFont="1" applyFill="1" applyAlignment="1">
      <alignment horizontal="center" vertical="center"/>
    </xf>
    <xf numFmtId="0" fontId="67" fillId="17" borderId="0" xfId="7" applyFont="1" applyFill="1" applyAlignment="1">
      <alignment vertical="center"/>
    </xf>
    <xf numFmtId="0" fontId="67" fillId="2" borderId="0" xfId="7" applyFont="1" applyFill="1" applyAlignment="1">
      <alignment vertical="center" wrapText="1"/>
    </xf>
    <xf numFmtId="0" fontId="28" fillId="17" borderId="0" xfId="7" applyFont="1" applyFill="1" applyAlignment="1">
      <alignment vertical="center"/>
    </xf>
    <xf numFmtId="0" fontId="36" fillId="2" borderId="0" xfId="7" applyFont="1" applyFill="1" applyAlignment="1">
      <alignment horizontal="center" vertical="center" wrapText="1"/>
    </xf>
    <xf numFmtId="3" fontId="28" fillId="2" borderId="0" xfId="7" applyNumberFormat="1" applyFont="1" applyFill="1" applyAlignment="1">
      <alignment horizontal="right" vertical="center"/>
    </xf>
    <xf numFmtId="0" fontId="28" fillId="17" borderId="5" xfId="7" applyFont="1" applyFill="1" applyBorder="1" applyAlignment="1">
      <alignment vertical="center"/>
    </xf>
    <xf numFmtId="0" fontId="28" fillId="2" borderId="0" xfId="7" applyFont="1" applyFill="1" applyAlignment="1">
      <alignment vertical="center" wrapText="1"/>
    </xf>
    <xf numFmtId="0" fontId="28" fillId="17" borderId="0" xfId="7" applyFont="1" applyFill="1" applyAlignment="1">
      <alignment vertical="center" wrapText="1"/>
    </xf>
    <xf numFmtId="0" fontId="31" fillId="2" borderId="0" xfId="3" applyFont="1" applyFill="1" applyAlignment="1">
      <alignment vertical="center" wrapText="1"/>
    </xf>
    <xf numFmtId="0" fontId="31" fillId="9" borderId="0" xfId="7" applyFont="1" applyFill="1" applyAlignment="1">
      <alignment vertical="center"/>
    </xf>
    <xf numFmtId="165" fontId="28" fillId="2" borderId="0" xfId="7" applyNumberFormat="1" applyFont="1" applyFill="1" applyAlignment="1">
      <alignment horizontal="right" vertical="center"/>
    </xf>
    <xf numFmtId="0" fontId="68" fillId="17" borderId="0" xfId="7" applyFont="1" applyFill="1" applyAlignment="1">
      <alignment horizontal="center" vertical="center" wrapText="1"/>
    </xf>
    <xf numFmtId="0" fontId="47" fillId="2" borderId="0" xfId="7" applyFont="1" applyFill="1" applyAlignment="1">
      <alignment vertical="top"/>
    </xf>
    <xf numFmtId="0" fontId="36" fillId="2" borderId="0" xfId="7" applyFont="1" applyFill="1" applyAlignment="1">
      <alignment vertical="center"/>
    </xf>
    <xf numFmtId="0" fontId="69" fillId="31" borderId="26" xfId="7" applyFont="1" applyFill="1" applyBorder="1"/>
    <xf numFmtId="0" fontId="69" fillId="31" borderId="30" xfId="7" applyFont="1" applyFill="1" applyBorder="1" applyAlignment="1">
      <alignment horizontal="center"/>
    </xf>
    <xf numFmtId="0" fontId="69" fillId="31" borderId="30" xfId="7" applyFont="1" applyFill="1" applyBorder="1"/>
    <xf numFmtId="0" fontId="69" fillId="31" borderId="27" xfId="7" applyFont="1" applyFill="1" applyBorder="1" applyAlignment="1">
      <alignment horizontal="center"/>
    </xf>
    <xf numFmtId="0" fontId="69" fillId="31" borderId="27" xfId="7" applyFont="1" applyFill="1" applyBorder="1"/>
    <xf numFmtId="0" fontId="22" fillId="31" borderId="27" xfId="7" applyFont="1" applyFill="1" applyBorder="1"/>
    <xf numFmtId="0" fontId="69" fillId="31" borderId="0" xfId="7" applyFont="1" applyFill="1"/>
    <xf numFmtId="0" fontId="69" fillId="31" borderId="0" xfId="7" applyFont="1" applyFill="1" applyAlignment="1">
      <alignment horizontal="center"/>
    </xf>
    <xf numFmtId="0" fontId="37" fillId="16" borderId="25" xfId="7" applyFont="1" applyFill="1" applyBorder="1" applyAlignment="1">
      <alignment horizontal="left" vertical="center"/>
    </xf>
    <xf numFmtId="0" fontId="37" fillId="16" borderId="25" xfId="7" applyFont="1" applyFill="1" applyBorder="1" applyAlignment="1">
      <alignment horizontal="center" vertical="center"/>
    </xf>
    <xf numFmtId="0" fontId="69" fillId="33" borderId="0" xfId="7" applyFont="1" applyFill="1" applyAlignment="1">
      <alignment horizontal="left" vertical="center"/>
    </xf>
    <xf numFmtId="0" fontId="69" fillId="33" borderId="0" xfId="7" applyFont="1" applyFill="1" applyAlignment="1">
      <alignment horizontal="center" vertical="center"/>
    </xf>
    <xf numFmtId="0" fontId="28" fillId="15" borderId="0" xfId="7" applyFont="1" applyFill="1" applyAlignment="1">
      <alignment vertical="center"/>
    </xf>
    <xf numFmtId="0" fontId="70" fillId="15" borderId="0" xfId="7" applyFont="1" applyFill="1" applyAlignment="1">
      <alignment horizontal="right" vertical="center"/>
    </xf>
    <xf numFmtId="0" fontId="43" fillId="2" borderId="0" xfId="7" applyFont="1" applyFill="1" applyAlignment="1">
      <alignment horizontal="right" vertical="center"/>
    </xf>
    <xf numFmtId="0" fontId="34" fillId="2" borderId="0" xfId="7" applyFont="1" applyFill="1" applyAlignment="1">
      <alignment horizontal="right" vertical="center"/>
    </xf>
    <xf numFmtId="0" fontId="29" fillId="15" borderId="0" xfId="7" applyFont="1" applyFill="1" applyAlignment="1">
      <alignment vertical="center"/>
    </xf>
    <xf numFmtId="0" fontId="72" fillId="15" borderId="0" xfId="7" applyFont="1" applyFill="1" applyAlignment="1">
      <alignment vertical="center"/>
    </xf>
    <xf numFmtId="0" fontId="72" fillId="15" borderId="0" xfId="7" applyFont="1" applyFill="1"/>
    <xf numFmtId="0" fontId="43" fillId="2" borderId="0" xfId="7" applyFont="1" applyFill="1" applyAlignment="1">
      <alignment horizontal="left" vertical="center"/>
    </xf>
    <xf numFmtId="0" fontId="39" fillId="13" borderId="0" xfId="7" applyFont="1" applyFill="1"/>
    <xf numFmtId="0" fontId="47" fillId="15" borderId="0" xfId="7" applyFont="1" applyFill="1" applyAlignment="1">
      <alignment vertical="center"/>
    </xf>
    <xf numFmtId="0" fontId="43" fillId="2" borderId="0" xfId="7" applyFont="1" applyFill="1" applyAlignment="1">
      <alignment horizontal="center" vertical="center"/>
    </xf>
    <xf numFmtId="0" fontId="0" fillId="0" borderId="0" xfId="0" applyAlignment="1">
      <alignment vertical="top"/>
    </xf>
    <xf numFmtId="0" fontId="42" fillId="15" borderId="0" xfId="7" applyFont="1" applyFill="1" applyAlignment="1">
      <alignment horizontal="right"/>
    </xf>
    <xf numFmtId="0" fontId="46" fillId="15" borderId="25" xfId="7" applyFont="1" applyFill="1" applyBorder="1" applyAlignment="1">
      <alignment horizontal="right"/>
    </xf>
    <xf numFmtId="0" fontId="46" fillId="15" borderId="32" xfId="7" applyFont="1" applyFill="1" applyBorder="1" applyAlignment="1">
      <alignment horizontal="right"/>
    </xf>
    <xf numFmtId="168" fontId="37" fillId="29" borderId="32" xfId="0" applyNumberFormat="1" applyFont="1" applyFill="1" applyBorder="1" applyAlignment="1" applyProtection="1">
      <alignment horizontal="right" vertical="center"/>
      <protection locked="0"/>
    </xf>
    <xf numFmtId="0" fontId="0" fillId="2" borderId="0" xfId="0" applyFill="1" applyAlignment="1">
      <alignment wrapText="1"/>
    </xf>
    <xf numFmtId="0" fontId="71" fillId="15" borderId="0" xfId="7" applyFont="1" applyFill="1" applyAlignment="1">
      <alignment horizontal="left" vertical="center"/>
    </xf>
    <xf numFmtId="0" fontId="38" fillId="2" borderId="0" xfId="0" applyFont="1" applyFill="1" applyAlignment="1">
      <alignment wrapText="1"/>
    </xf>
    <xf numFmtId="0" fontId="23" fillId="20" borderId="0" xfId="10" applyFill="1" applyAlignment="1">
      <alignment horizontal="center" vertical="center" wrapText="1"/>
    </xf>
    <xf numFmtId="0" fontId="18" fillId="0" borderId="4" xfId="7" applyFont="1" applyBorder="1" applyAlignment="1">
      <alignment horizontal="center"/>
    </xf>
    <xf numFmtId="0" fontId="0" fillId="0" borderId="0" xfId="0" applyAlignment="1">
      <alignment wrapText="1"/>
    </xf>
    <xf numFmtId="0" fontId="9" fillId="2" borderId="0" xfId="7" applyFill="1" applyAlignment="1">
      <alignment vertical="top" wrapText="1"/>
    </xf>
    <xf numFmtId="0" fontId="0" fillId="2" borderId="0" xfId="0" applyFill="1" applyAlignment="1">
      <alignment wrapText="1"/>
    </xf>
    <xf numFmtId="0" fontId="0" fillId="24" borderId="0" xfId="0" applyFill="1" applyAlignment="1">
      <alignment horizontal="left"/>
    </xf>
    <xf numFmtId="0" fontId="0" fillId="24" borderId="0" xfId="0" applyFill="1"/>
    <xf numFmtId="166" fontId="9" fillId="28" borderId="32" xfId="8" applyNumberFormat="1" applyFill="1" applyBorder="1" applyProtection="1">
      <protection locked="0"/>
    </xf>
    <xf numFmtId="166" fontId="9" fillId="2" borderId="32" xfId="8" applyNumberFormat="1" applyFill="1" applyBorder="1" applyProtection="1">
      <protection locked="0"/>
    </xf>
    <xf numFmtId="0" fontId="28" fillId="2" borderId="0" xfId="8" applyFont="1" applyFill="1" applyProtection="1"/>
    <xf numFmtId="0" fontId="72" fillId="15" borderId="0" xfId="8" applyFont="1" applyFill="1" applyProtection="1"/>
    <xf numFmtId="0" fontId="73" fillId="2" borderId="0" xfId="8" applyFont="1" applyFill="1" applyProtection="1"/>
    <xf numFmtId="0" fontId="31" fillId="2" borderId="0" xfId="8" applyFont="1" applyFill="1" applyAlignment="1" applyProtection="1">
      <alignment horizontal="center"/>
    </xf>
    <xf numFmtId="0" fontId="43" fillId="2" borderId="0" xfId="7" applyFont="1" applyFill="1" applyAlignment="1" applyProtection="1">
      <alignment horizontal="left" vertical="center"/>
    </xf>
    <xf numFmtId="0" fontId="69" fillId="32" borderId="0" xfId="8" applyFont="1" applyFill="1" applyAlignment="1" applyProtection="1">
      <alignment horizontal="left" vertical="center"/>
    </xf>
    <xf numFmtId="0" fontId="69" fillId="32" borderId="0" xfId="8" applyFont="1" applyFill="1" applyAlignment="1" applyProtection="1">
      <alignment horizontal="center" vertical="center"/>
    </xf>
    <xf numFmtId="0" fontId="9" fillId="2" borderId="0" xfId="8" applyFill="1" applyProtection="1"/>
    <xf numFmtId="0" fontId="9" fillId="2" borderId="0" xfId="7" applyFill="1" applyProtection="1"/>
    <xf numFmtId="0" fontId="9" fillId="2" borderId="0" xfId="8" applyFill="1" applyAlignment="1" applyProtection="1">
      <alignment horizontal="center"/>
    </xf>
    <xf numFmtId="0" fontId="39" fillId="14" borderId="26" xfId="8" applyFont="1" applyFill="1" applyBorder="1" applyAlignment="1" applyProtection="1">
      <alignment horizontal="left" vertical="center"/>
    </xf>
    <xf numFmtId="166" fontId="39" fillId="26" borderId="30" xfId="8" applyNumberFormat="1" applyFont="1" applyFill="1" applyBorder="1" applyAlignment="1" applyProtection="1">
      <alignment horizontal="center" vertical="center"/>
    </xf>
    <xf numFmtId="166" fontId="39" fillId="26" borderId="27" xfId="8" applyNumberFormat="1" applyFont="1" applyFill="1" applyBorder="1" applyAlignment="1" applyProtection="1">
      <alignment horizontal="center" vertical="center"/>
    </xf>
    <xf numFmtId="0" fontId="48" fillId="17" borderId="0" xfId="0" applyFont="1" applyFill="1" applyProtection="1"/>
    <xf numFmtId="166" fontId="9" fillId="2" borderId="0" xfId="8" applyNumberFormat="1" applyFill="1" applyProtection="1"/>
    <xf numFmtId="0" fontId="39" fillId="21" borderId="26" xfId="8" applyFont="1" applyFill="1" applyBorder="1" applyProtection="1"/>
    <xf numFmtId="166" fontId="9" fillId="21" borderId="30" xfId="8" applyNumberFormat="1" applyFill="1" applyBorder="1" applyProtection="1"/>
    <xf numFmtId="166" fontId="37" fillId="21" borderId="27" xfId="8" applyNumberFormat="1" applyFont="1" applyFill="1" applyBorder="1" applyProtection="1"/>
    <xf numFmtId="0" fontId="28" fillId="2" borderId="0" xfId="8" applyFont="1" applyFill="1" applyAlignment="1" applyProtection="1">
      <alignment vertical="center"/>
    </xf>
    <xf numFmtId="0" fontId="9" fillId="2" borderId="28" xfId="8" applyFill="1" applyBorder="1" applyProtection="1"/>
    <xf numFmtId="166" fontId="9" fillId="28" borderId="31" xfId="8" applyNumberFormat="1" applyFill="1" applyBorder="1" applyProtection="1"/>
    <xf numFmtId="166" fontId="9" fillId="2" borderId="31" xfId="8" applyNumberFormat="1" applyFill="1" applyBorder="1" applyProtection="1"/>
    <xf numFmtId="166" fontId="37" fillId="27" borderId="29" xfId="8" applyNumberFormat="1" applyFont="1" applyFill="1" applyBorder="1" applyProtection="1"/>
    <xf numFmtId="166" fontId="9" fillId="4" borderId="31" xfId="8" applyNumberFormat="1" applyFill="1" applyBorder="1" applyProtection="1"/>
    <xf numFmtId="0" fontId="39" fillId="13" borderId="28" xfId="8" applyFont="1" applyFill="1" applyBorder="1" applyProtection="1"/>
    <xf numFmtId="166" fontId="52" fillId="27" borderId="31" xfId="8" applyNumberFormat="1" applyFont="1" applyFill="1" applyBorder="1" applyProtection="1"/>
    <xf numFmtId="166" fontId="39" fillId="27" borderId="29" xfId="8" applyNumberFormat="1" applyFont="1" applyFill="1" applyBorder="1" applyProtection="1"/>
    <xf numFmtId="0" fontId="39" fillId="21" borderId="25" xfId="8" applyFont="1" applyFill="1" applyBorder="1" applyProtection="1"/>
    <xf numFmtId="166" fontId="9" fillId="21" borderId="25" xfId="8" applyNumberFormat="1" applyFill="1" applyBorder="1" applyProtection="1"/>
    <xf numFmtId="0" fontId="9" fillId="2" borderId="32" xfId="8" applyFill="1" applyBorder="1" applyProtection="1"/>
    <xf numFmtId="166" fontId="9" fillId="28" borderId="32" xfId="8" applyNumberFormat="1" applyFill="1" applyBorder="1" applyProtection="1"/>
    <xf numFmtId="166" fontId="9" fillId="2" borderId="32" xfId="8" applyNumberFormat="1" applyFill="1" applyBorder="1" applyProtection="1"/>
    <xf numFmtId="166" fontId="37" fillId="27" borderId="32" xfId="8" applyNumberFormat="1" applyFont="1" applyFill="1" applyBorder="1" applyProtection="1"/>
    <xf numFmtId="170" fontId="9" fillId="2" borderId="0" xfId="8" applyNumberFormat="1" applyFill="1" applyProtection="1"/>
    <xf numFmtId="3" fontId="37" fillId="2" borderId="0" xfId="8" applyNumberFormat="1" applyFont="1" applyFill="1" applyProtection="1"/>
    <xf numFmtId="0" fontId="39" fillId="2" borderId="32" xfId="0" applyFont="1" applyFill="1" applyBorder="1" applyAlignment="1" applyProtection="1">
      <alignment horizontal="left"/>
    </xf>
    <xf numFmtId="166" fontId="39" fillId="27" borderId="31" xfId="8" applyNumberFormat="1" applyFont="1" applyFill="1" applyBorder="1" applyProtection="1"/>
    <xf numFmtId="0" fontId="50" fillId="17" borderId="0" xfId="0" applyFont="1" applyFill="1" applyProtection="1"/>
    <xf numFmtId="0" fontId="9" fillId="2" borderId="20" xfId="8" applyFill="1" applyBorder="1" applyProtection="1"/>
    <xf numFmtId="166" fontId="9" fillId="17" borderId="21" xfId="8" applyNumberFormat="1" applyFill="1" applyBorder="1" applyProtection="1"/>
    <xf numFmtId="166" fontId="9" fillId="2" borderId="21" xfId="8" applyNumberFormat="1" applyFill="1" applyBorder="1" applyProtection="1"/>
    <xf numFmtId="166" fontId="37" fillId="11" borderId="22" xfId="8" applyNumberFormat="1" applyFont="1" applyFill="1" applyBorder="1" applyProtection="1"/>
    <xf numFmtId="0" fontId="9" fillId="15" borderId="0" xfId="8" applyFill="1" applyProtection="1"/>
    <xf numFmtId="0" fontId="74" fillId="0" borderId="0" xfId="0" applyFont="1" applyAlignment="1">
      <alignment horizontal="left" vertical="center"/>
    </xf>
    <xf numFmtId="171" fontId="9" fillId="25" borderId="29" xfId="7" applyNumberFormat="1" applyFill="1" applyBorder="1" applyAlignment="1">
      <alignment horizontal="center"/>
    </xf>
    <xf numFmtId="0" fontId="38" fillId="2" borderId="0" xfId="0" applyFont="1" applyFill="1" applyAlignment="1">
      <alignment horizontal="left" vertical="top" wrapText="1"/>
    </xf>
    <xf numFmtId="0" fontId="9" fillId="2" borderId="0" xfId="7" applyFill="1" applyAlignment="1">
      <alignment horizontal="center" wrapText="1"/>
    </xf>
    <xf numFmtId="0" fontId="22" fillId="15" borderId="0" xfId="0" applyFont="1" applyFill="1" applyAlignment="1">
      <alignment horizontal="right" vertical="top"/>
    </xf>
    <xf numFmtId="0" fontId="22" fillId="15" borderId="0" xfId="0" applyFont="1" applyFill="1" applyAlignment="1">
      <alignment vertical="center" wrapText="1"/>
    </xf>
    <xf numFmtId="0" fontId="75" fillId="15" borderId="0" xfId="0" applyFont="1" applyFill="1" applyAlignment="1">
      <alignment horizontal="right" vertical="center" wrapText="1"/>
    </xf>
    <xf numFmtId="168" fontId="69" fillId="34" borderId="32" xfId="0" applyNumberFormat="1" applyFont="1" applyFill="1" applyBorder="1" applyAlignment="1" applyProtection="1">
      <alignment horizontal="center" vertical="center"/>
      <protection locked="0"/>
    </xf>
    <xf numFmtId="0" fontId="0" fillId="0" borderId="0" xfId="0" applyFill="1"/>
    <xf numFmtId="0" fontId="11" fillId="18" borderId="43" xfId="0" applyFont="1" applyFill="1" applyBorder="1"/>
    <xf numFmtId="0" fontId="0" fillId="2" borderId="0" xfId="0" applyFill="1" applyAlignment="1">
      <alignment wrapText="1"/>
    </xf>
    <xf numFmtId="0" fontId="0" fillId="2" borderId="0" xfId="0" applyFill="1" applyAlignment="1">
      <alignment horizontal="left" wrapText="1"/>
    </xf>
    <xf numFmtId="0" fontId="71" fillId="15" borderId="0" xfId="7" applyFont="1" applyFill="1" applyAlignment="1">
      <alignment horizontal="left" vertical="center"/>
    </xf>
    <xf numFmtId="0" fontId="38" fillId="2" borderId="0" xfId="0" applyFont="1" applyFill="1" applyAlignment="1">
      <alignment wrapText="1"/>
    </xf>
    <xf numFmtId="0" fontId="0" fillId="2" borderId="0" xfId="0" applyFill="1" applyAlignment="1">
      <alignment horizontal="left" vertical="top" wrapText="1"/>
    </xf>
    <xf numFmtId="0" fontId="9" fillId="2" borderId="0" xfId="7" applyFill="1" applyAlignment="1">
      <alignment horizontal="left" wrapText="1"/>
    </xf>
    <xf numFmtId="0" fontId="9" fillId="2" borderId="0" xfId="7" applyFill="1" applyAlignment="1">
      <alignment horizontal="left"/>
    </xf>
    <xf numFmtId="0" fontId="38" fillId="2" borderId="0" xfId="0" applyFont="1" applyFill="1" applyAlignment="1">
      <alignment horizontal="left" vertical="top" wrapText="1"/>
    </xf>
    <xf numFmtId="0" fontId="9" fillId="2" borderId="0" xfId="7" applyFill="1" applyAlignment="1">
      <alignment horizontal="center" wrapText="1"/>
    </xf>
    <xf numFmtId="0" fontId="9" fillId="2" borderId="0" xfId="7" applyFill="1" applyAlignment="1">
      <alignment horizontal="left" vertical="top" wrapText="1"/>
    </xf>
    <xf numFmtId="0" fontId="71" fillId="15" borderId="0" xfId="8" applyFont="1" applyFill="1" applyAlignment="1" applyProtection="1">
      <alignment horizontal="left" vertical="center"/>
    </xf>
    <xf numFmtId="0" fontId="38" fillId="2" borderId="0" xfId="8" applyFont="1" applyFill="1" applyAlignment="1" applyProtection="1"/>
    <xf numFmtId="0" fontId="38" fillId="23" borderId="34" xfId="0" applyFont="1" applyFill="1" applyBorder="1" applyAlignment="1" applyProtection="1">
      <alignment horizontal="left" vertical="top"/>
    </xf>
    <xf numFmtId="0" fontId="38" fillId="23" borderId="35" xfId="0" applyFont="1" applyFill="1" applyBorder="1" applyAlignment="1" applyProtection="1">
      <alignment horizontal="left" vertical="top"/>
    </xf>
    <xf numFmtId="0" fontId="38" fillId="23" borderId="36" xfId="0" applyFont="1" applyFill="1" applyBorder="1" applyAlignment="1" applyProtection="1">
      <alignment horizontal="left" vertical="top"/>
    </xf>
    <xf numFmtId="0" fontId="38" fillId="23" borderId="37" xfId="0" applyFont="1" applyFill="1" applyBorder="1" applyAlignment="1" applyProtection="1">
      <alignment horizontal="left" vertical="top"/>
    </xf>
    <xf numFmtId="0" fontId="38" fillId="23" borderId="0" xfId="0" applyFont="1" applyFill="1" applyAlignment="1" applyProtection="1">
      <alignment horizontal="left" vertical="top"/>
    </xf>
    <xf numFmtId="0" fontId="38" fillId="23" borderId="38" xfId="0" applyFont="1" applyFill="1" applyBorder="1" applyAlignment="1" applyProtection="1">
      <alignment horizontal="left" vertical="top"/>
    </xf>
    <xf numFmtId="0" fontId="38" fillId="23" borderId="39" xfId="0" applyFont="1" applyFill="1" applyBorder="1" applyAlignment="1" applyProtection="1">
      <alignment horizontal="left" vertical="top"/>
    </xf>
    <xf numFmtId="0" fontId="38" fillId="23" borderId="25" xfId="0" applyFont="1" applyFill="1" applyBorder="1" applyAlignment="1" applyProtection="1">
      <alignment horizontal="left" vertical="top"/>
    </xf>
    <xf numFmtId="0" fontId="38" fillId="23" borderId="40" xfId="0" applyFont="1" applyFill="1" applyBorder="1" applyAlignment="1" applyProtection="1">
      <alignment horizontal="left" vertical="top"/>
    </xf>
    <xf numFmtId="0" fontId="38" fillId="26" borderId="34" xfId="0" applyFont="1" applyFill="1" applyBorder="1" applyAlignment="1" applyProtection="1">
      <alignment horizontal="left" vertical="top"/>
      <protection locked="0"/>
    </xf>
    <xf numFmtId="0" fontId="38" fillId="26" borderId="35" xfId="0" applyFont="1" applyFill="1" applyBorder="1" applyAlignment="1" applyProtection="1">
      <alignment horizontal="left" vertical="top"/>
      <protection locked="0"/>
    </xf>
    <xf numFmtId="0" fontId="38" fillId="26" borderId="36" xfId="0" applyFont="1" applyFill="1" applyBorder="1" applyAlignment="1" applyProtection="1">
      <alignment horizontal="left" vertical="top"/>
      <protection locked="0"/>
    </xf>
    <xf numFmtId="0" fontId="38" fillId="26" borderId="37" xfId="0" applyFont="1" applyFill="1" applyBorder="1" applyAlignment="1" applyProtection="1">
      <alignment horizontal="left" vertical="top"/>
      <protection locked="0"/>
    </xf>
    <xf numFmtId="0" fontId="38" fillId="26" borderId="0" xfId="0" applyFont="1" applyFill="1" applyAlignment="1" applyProtection="1">
      <alignment horizontal="left" vertical="top"/>
      <protection locked="0"/>
    </xf>
    <xf numFmtId="0" fontId="38" fillId="26" borderId="38" xfId="0" applyFont="1" applyFill="1" applyBorder="1" applyAlignment="1" applyProtection="1">
      <alignment horizontal="left" vertical="top"/>
      <protection locked="0"/>
    </xf>
    <xf numFmtId="0" fontId="38" fillId="26" borderId="39" xfId="0" applyFont="1" applyFill="1" applyBorder="1" applyAlignment="1" applyProtection="1">
      <alignment horizontal="left" vertical="top"/>
      <protection locked="0"/>
    </xf>
    <xf numFmtId="0" fontId="38" fillId="26" borderId="25" xfId="0" applyFont="1" applyFill="1" applyBorder="1" applyAlignment="1" applyProtection="1">
      <alignment horizontal="left" vertical="top"/>
      <protection locked="0"/>
    </xf>
    <xf numFmtId="0" fontId="38" fillId="26" borderId="40" xfId="0" applyFont="1" applyFill="1" applyBorder="1" applyAlignment="1" applyProtection="1">
      <alignment horizontal="left" vertical="top"/>
      <protection locked="0"/>
    </xf>
    <xf numFmtId="0" fontId="23" fillId="19" borderId="0" xfId="10" applyFill="1" applyAlignment="1">
      <alignment horizontal="center" vertical="center"/>
    </xf>
    <xf numFmtId="0" fontId="23" fillId="20" borderId="0" xfId="10" applyFill="1" applyAlignment="1">
      <alignment horizontal="center" vertical="center" wrapText="1"/>
    </xf>
    <xf numFmtId="0" fontId="18" fillId="0" borderId="4" xfId="7" applyFont="1" applyBorder="1" applyAlignment="1">
      <alignment horizontal="center"/>
    </xf>
    <xf numFmtId="0" fontId="21" fillId="18" borderId="4" xfId="0" applyFont="1" applyFill="1" applyBorder="1" applyAlignment="1">
      <alignment horizontal="center" vertical="center"/>
    </xf>
  </cellXfs>
  <cellStyles count="11">
    <cellStyle name="Euro" xfId="1" xr:uid="{00000000-0005-0000-0000-000000000000}"/>
    <cellStyle name="Excel Built-in Linked Cell" xfId="2" xr:uid="{00000000-0005-0000-0000-000001000000}"/>
    <cellStyle name="Hyperlink" xfId="3" builtinId="8"/>
    <cellStyle name="Hyperlink 2" xfId="4" xr:uid="{00000000-0005-0000-0000-000003000000}"/>
    <cellStyle name="Procent 2" xfId="5" xr:uid="{00000000-0005-0000-0000-000005000000}"/>
    <cellStyle name="Procent 2 2" xfId="6" xr:uid="{00000000-0005-0000-0000-000006000000}"/>
    <cellStyle name="Standaard" xfId="0" builtinId="0"/>
    <cellStyle name="Standaard 2" xfId="7" xr:uid="{00000000-0005-0000-0000-000007000000}"/>
    <cellStyle name="Standaard 2 2" xfId="10" xr:uid="{00000000-0005-0000-0000-000008000000}"/>
    <cellStyle name="Standaard 3" xfId="8" xr:uid="{00000000-0005-0000-0000-000009000000}"/>
    <cellStyle name="Valuta 2" xfId="9" xr:uid="{00000000-0005-0000-0000-00000A000000}"/>
  </cellStyles>
  <dxfs count="81">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rgb="FF7030A0"/>
      </font>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fgColor theme="0"/>
        </patternFill>
      </fill>
    </dxf>
    <dxf>
      <font>
        <color theme="0"/>
      </font>
      <fill>
        <patternFill>
          <fgColor theme="0"/>
        </patternFill>
      </fill>
    </dxf>
    <dxf>
      <font>
        <color theme="0"/>
      </font>
      <fill>
        <patternFill>
          <f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patternFill>
      </fill>
      <border>
        <left/>
        <right/>
        <top/>
        <bottom/>
        <vertical/>
        <horizontal/>
      </border>
    </dxf>
    <dxf>
      <font>
        <color theme="0"/>
      </font>
      <fill>
        <patternFill>
          <fgColor theme="0"/>
        </patternFill>
      </fill>
      <border>
        <left/>
        <right/>
        <top/>
        <bottom/>
        <vertical/>
        <horizontal/>
      </border>
    </dxf>
    <dxf>
      <font>
        <color theme="0"/>
      </font>
      <fill>
        <patternFill>
          <f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DEADA"/>
      <rgbColor rgb="00DCE6F2"/>
      <rgbColor rgb="00660066"/>
      <rgbColor rgb="00F79646"/>
      <rgbColor rgb="000066CC"/>
      <rgbColor rgb="00C6D9F1"/>
      <rgbColor rgb="00000080"/>
      <rgbColor rgb="00FF00FF"/>
      <rgbColor rgb="00FFFF00"/>
      <rgbColor rgb="0000FFFF"/>
      <rgbColor rgb="00800080"/>
      <rgbColor rgb="00800000"/>
      <rgbColor rgb="00008080"/>
      <rgbColor rgb="000000FF"/>
      <rgbColor rgb="0000CCFF"/>
      <rgbColor rgb="00CCFFFF"/>
      <rgbColor rgb="00D9D9D9"/>
      <rgbColor rgb="00FFFF99"/>
      <rgbColor rgb="00B9CDE5"/>
      <rgbColor rgb="00FF99CC"/>
      <rgbColor rgb="00CC99FF"/>
      <rgbColor rgb="00FFCC99"/>
      <rgbColor rgb="003366FF"/>
      <rgbColor rgb="0033CCCC"/>
      <rgbColor rgb="0099CC00"/>
      <rgbColor rgb="00FFCC00"/>
      <rgbColor rgb="00FF8001"/>
      <rgbColor rgb="00FF6600"/>
      <rgbColor rgb="00666666"/>
      <rgbColor rgb="00A6A6A6"/>
      <rgbColor rgb="00002060"/>
      <rgbColor rgb="00339966"/>
      <rgbColor rgb="00003300"/>
      <rgbColor rgb="00333300"/>
      <rgbColor rgb="00993300"/>
      <rgbColor rgb="00993366"/>
      <rgbColor rgb="00232572"/>
      <rgbColor rgb="001F497D"/>
    </indexedColors>
    <mruColors>
      <color rgb="FFC60E13"/>
      <color rgb="FF232572"/>
      <color rgb="FF00A197"/>
      <color rgb="FFCCECEA"/>
      <color rgb="FFE2001A"/>
      <color rgb="FFFF6600"/>
      <color rgb="FFC5C6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914400</xdr:colOff>
      <xdr:row>21</xdr:row>
      <xdr:rowOff>0</xdr:rowOff>
    </xdr:from>
    <xdr:to>
      <xdr:col>1</xdr:col>
      <xdr:colOff>914400</xdr:colOff>
      <xdr:row>24</xdr:row>
      <xdr:rowOff>28575</xdr:rowOff>
    </xdr:to>
    <xdr:pic>
      <xdr:nvPicPr>
        <xdr:cNvPr id="4" name="Picture 6">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6505575"/>
          <a:ext cx="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1171575</xdr:colOff>
      <xdr:row>22</xdr:row>
      <xdr:rowOff>123825</xdr:rowOff>
    </xdr:from>
    <xdr:to>
      <xdr:col>1</xdr:col>
      <xdr:colOff>1171575</xdr:colOff>
      <xdr:row>22</xdr:row>
      <xdr:rowOff>161925</xdr:rowOff>
    </xdr:to>
    <xdr:pic>
      <xdr:nvPicPr>
        <xdr:cNvPr id="5" name="Picture 8">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9700" y="69627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1171575</xdr:colOff>
      <xdr:row>23</xdr:row>
      <xdr:rowOff>0</xdr:rowOff>
    </xdr:from>
    <xdr:to>
      <xdr:col>1</xdr:col>
      <xdr:colOff>1171575</xdr:colOff>
      <xdr:row>23</xdr:row>
      <xdr:rowOff>38100</xdr:rowOff>
    </xdr:to>
    <xdr:pic>
      <xdr:nvPicPr>
        <xdr:cNvPr id="6" name="Picture 8">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9700" y="996315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7048500</xdr:colOff>
      <xdr:row>0</xdr:row>
      <xdr:rowOff>9525</xdr:rowOff>
    </xdr:from>
    <xdr:to>
      <xdr:col>3</xdr:col>
      <xdr:colOff>47637</xdr:colOff>
      <xdr:row>3</xdr:row>
      <xdr:rowOff>128633</xdr:rowOff>
    </xdr:to>
    <xdr:pic>
      <xdr:nvPicPr>
        <xdr:cNvPr id="11" name="Afbeelding 10">
          <a:extLst>
            <a:ext uri="{FF2B5EF4-FFF2-40B4-BE49-F238E27FC236}">
              <a16:creationId xmlns:a16="http://schemas.microsoft.com/office/drawing/2014/main" id="{65A8C26F-B1DE-48A6-93BD-E4C20F4E4BC0}"/>
            </a:ext>
            <a:ext uri="{147F2762-F138-4A5C-976F-8EAC2B608ADB}">
              <a16:predDERef xmlns:a16="http://schemas.microsoft.com/office/drawing/2014/main" pred="{10C37202-DCD6-4747-BD59-246B44B5D90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86625" y="9525"/>
          <a:ext cx="1571637" cy="13097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342900</xdr:colOff>
      <xdr:row>0</xdr:row>
      <xdr:rowOff>0</xdr:rowOff>
    </xdr:from>
    <xdr:to>
      <xdr:col>7</xdr:col>
      <xdr:colOff>180987</xdr:colOff>
      <xdr:row>3</xdr:row>
      <xdr:rowOff>71483</xdr:rowOff>
    </xdr:to>
    <xdr:pic>
      <xdr:nvPicPr>
        <xdr:cNvPr id="4" name="Afbeelding 3">
          <a:extLst>
            <a:ext uri="{FF2B5EF4-FFF2-40B4-BE49-F238E27FC236}">
              <a16:creationId xmlns:a16="http://schemas.microsoft.com/office/drawing/2014/main" id="{EC9B29F2-9719-4152-8A48-647152DAA830}"/>
            </a:ext>
            <a:ext uri="{147F2762-F138-4A5C-976F-8EAC2B608ADB}">
              <a16:predDERef xmlns:a16="http://schemas.microsoft.com/office/drawing/2014/main" pred="{10C37202-DCD6-4747-BD59-246B44B5D9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91550" y="0"/>
          <a:ext cx="1571637" cy="13097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504825</xdr:colOff>
      <xdr:row>0</xdr:row>
      <xdr:rowOff>0</xdr:rowOff>
    </xdr:from>
    <xdr:to>
      <xdr:col>11</xdr:col>
      <xdr:colOff>381012</xdr:colOff>
      <xdr:row>3</xdr:row>
      <xdr:rowOff>157208</xdr:rowOff>
    </xdr:to>
    <xdr:pic>
      <xdr:nvPicPr>
        <xdr:cNvPr id="6" name="Afbeelding 5">
          <a:extLst>
            <a:ext uri="{FF2B5EF4-FFF2-40B4-BE49-F238E27FC236}">
              <a16:creationId xmlns:a16="http://schemas.microsoft.com/office/drawing/2014/main" id="{ED6D0B5E-B4A0-400B-AD26-660DB6C256EE}"/>
            </a:ext>
            <a:ext uri="{147F2762-F138-4A5C-976F-8EAC2B608ADB}">
              <a16:predDERef xmlns:a16="http://schemas.microsoft.com/office/drawing/2014/main" pred="{10C37202-DCD6-4747-BD59-246B44B5D9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15700" y="0"/>
          <a:ext cx="1571637" cy="13097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542925</xdr:colOff>
      <xdr:row>0</xdr:row>
      <xdr:rowOff>0</xdr:rowOff>
    </xdr:from>
    <xdr:to>
      <xdr:col>19</xdr:col>
      <xdr:colOff>123837</xdr:colOff>
      <xdr:row>3</xdr:row>
      <xdr:rowOff>138158</xdr:rowOff>
    </xdr:to>
    <xdr:pic>
      <xdr:nvPicPr>
        <xdr:cNvPr id="6" name="Afbeelding 5">
          <a:extLst>
            <a:ext uri="{FF2B5EF4-FFF2-40B4-BE49-F238E27FC236}">
              <a16:creationId xmlns:a16="http://schemas.microsoft.com/office/drawing/2014/main" id="{EE16BC00-8664-4C00-A68B-33776C6247E3}"/>
            </a:ext>
            <a:ext uri="{147F2762-F138-4A5C-976F-8EAC2B608ADB}">
              <a16:predDERef xmlns:a16="http://schemas.microsoft.com/office/drawing/2014/main" pred="{10C37202-DCD6-4747-BD59-246B44B5D9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39900" y="0"/>
          <a:ext cx="1571637" cy="13097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19050</xdr:colOff>
      <xdr:row>0</xdr:row>
      <xdr:rowOff>0</xdr:rowOff>
    </xdr:from>
    <xdr:to>
      <xdr:col>9</xdr:col>
      <xdr:colOff>133362</xdr:colOff>
      <xdr:row>3</xdr:row>
      <xdr:rowOff>119108</xdr:rowOff>
    </xdr:to>
    <xdr:pic>
      <xdr:nvPicPr>
        <xdr:cNvPr id="6" name="Afbeelding 5">
          <a:extLst>
            <a:ext uri="{FF2B5EF4-FFF2-40B4-BE49-F238E27FC236}">
              <a16:creationId xmlns:a16="http://schemas.microsoft.com/office/drawing/2014/main" id="{2511887D-E037-4221-8298-8EB17C8331C4}"/>
            </a:ext>
            <a:ext uri="{147F2762-F138-4A5C-976F-8EAC2B608ADB}">
              <a16:predDERef xmlns:a16="http://schemas.microsoft.com/office/drawing/2014/main" pred="{10C37202-DCD6-4747-BD59-246B44B5D9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53375" y="0"/>
          <a:ext cx="1571637" cy="13097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600075</xdr:colOff>
      <xdr:row>0</xdr:row>
      <xdr:rowOff>0</xdr:rowOff>
    </xdr:from>
    <xdr:to>
      <xdr:col>16</xdr:col>
      <xdr:colOff>85737</xdr:colOff>
      <xdr:row>3</xdr:row>
      <xdr:rowOff>90533</xdr:rowOff>
    </xdr:to>
    <xdr:pic>
      <xdr:nvPicPr>
        <xdr:cNvPr id="6" name="Afbeelding 5">
          <a:extLst>
            <a:ext uri="{FF2B5EF4-FFF2-40B4-BE49-F238E27FC236}">
              <a16:creationId xmlns:a16="http://schemas.microsoft.com/office/drawing/2014/main" id="{7A26288F-37FF-4DDF-8944-674E83193590}"/>
            </a:ext>
            <a:ext uri="{147F2762-F138-4A5C-976F-8EAC2B608ADB}">
              <a16:predDERef xmlns:a16="http://schemas.microsoft.com/office/drawing/2014/main" pred="{10C37202-DCD6-4747-BD59-246B44B5D9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15800" y="0"/>
          <a:ext cx="1571637" cy="13097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L%20-%20Financieel%20plan%20Qredits%20Oportuni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ón"/>
      <sheetName val="Plan Inversión y financiación"/>
      <sheetName val="Plan de Tesorería"/>
      <sheetName val="Previsión cobros y pagos"/>
      <sheetName val="Cuadro amortización Oportunitas"/>
      <sheetName val="Mis respuestas"/>
      <sheetName val="Begrippenbelastingsdienst"/>
      <sheetName val="Vertaling"/>
      <sheetName val="Schema"/>
      <sheetName val="dropdowns"/>
      <sheetName val="IB"/>
      <sheetName val="DATA"/>
    </sheetNames>
    <sheetDataSet>
      <sheetData sheetId="0"/>
      <sheetData sheetId="1"/>
      <sheetData sheetId="2"/>
      <sheetData sheetId="3"/>
      <sheetData sheetId="4">
        <row r="4">
          <cell r="C4">
            <v>0</v>
          </cell>
        </row>
        <row r="11">
          <cell r="C11">
            <v>0</v>
          </cell>
        </row>
        <row r="17">
          <cell r="B17" t="str">
            <v>Intereses mensuales</v>
          </cell>
        </row>
      </sheetData>
      <sheetData sheetId="5"/>
      <sheetData sheetId="6"/>
      <sheetData sheetId="7">
        <row r="7">
          <cell r="B7" t="str">
            <v xml:space="preserve">    Plan de Inversión y financiación</v>
          </cell>
        </row>
      </sheetData>
      <sheetData sheetId="8">
        <row r="9">
          <cell r="C9">
            <v>43435</v>
          </cell>
          <cell r="L9">
            <v>0</v>
          </cell>
          <cell r="M9">
            <v>0</v>
          </cell>
        </row>
      </sheetData>
      <sheetData sheetId="9">
        <row r="2">
          <cell r="B2" t="str">
            <v>Si</v>
          </cell>
        </row>
        <row r="3">
          <cell r="B3" t="str">
            <v>No</v>
          </cell>
        </row>
        <row r="187">
          <cell r="B187" t="str">
            <v>Anualidad</v>
          </cell>
        </row>
        <row r="188">
          <cell r="B188" t="str">
            <v>Lineal</v>
          </cell>
        </row>
      </sheetData>
      <sheetData sheetId="10"/>
      <sheetData sheetId="1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oportunitasimf.org/" TargetMode="External"/><Relationship Id="rId2" Type="http://schemas.openxmlformats.org/officeDocument/2006/relationships/hyperlink" Target="http://www.oportunitasimf.org/" TargetMode="External"/><Relationship Id="rId1" Type="http://schemas.openxmlformats.org/officeDocument/2006/relationships/hyperlink" Target="http://www.oportunitasimf.org/" TargetMode="External"/><Relationship Id="rId6" Type="http://schemas.openxmlformats.org/officeDocument/2006/relationships/printerSettings" Target="../printerSettings/printerSettings7.bin"/><Relationship Id="rId5" Type="http://schemas.openxmlformats.org/officeDocument/2006/relationships/hyperlink" Target="http://www.unicredit.it/" TargetMode="External"/><Relationship Id="rId4" Type="http://schemas.openxmlformats.org/officeDocument/2006/relationships/hyperlink" Target="http://www.oportunitasimf.org/"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A197"/>
    <pageSetUpPr fitToPage="1"/>
  </sheetPr>
  <dimension ref="A1:AI91"/>
  <sheetViews>
    <sheetView tabSelected="1" workbookViewId="0">
      <selection activeCell="B24" sqref="B24"/>
    </sheetView>
  </sheetViews>
  <sheetFormatPr defaultColWidth="3.140625" defaultRowHeight="14.25"/>
  <cols>
    <col min="1" max="1" width="3.5703125" style="107" customWidth="1"/>
    <col min="2" max="2" width="125" style="107" customWidth="1"/>
    <col min="3" max="3" width="3.5703125" style="107" customWidth="1"/>
    <col min="4" max="255" width="9.140625" style="107" customWidth="1"/>
    <col min="256" max="16384" width="3.140625" style="107"/>
  </cols>
  <sheetData>
    <row r="1" spans="1:35" s="105" customFormat="1" ht="63.75" customHeight="1">
      <c r="A1" s="337"/>
      <c r="B1" s="354" t="str">
        <f>Vertaling!B3</f>
      </c>
      <c r="C1" s="338"/>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row>
    <row r="2" spans="1:35">
      <c r="A2" s="294"/>
      <c r="B2" s="339" t="s">
        <v>0</v>
      </c>
      <c r="C2" s="294"/>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row>
    <row r="3" spans="1:35" ht="15">
      <c r="A3" s="294"/>
      <c r="B3" s="340"/>
      <c r="C3" s="294"/>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row>
    <row r="4" spans="1:35" ht="15">
      <c r="A4" s="294"/>
      <c r="B4" s="340"/>
      <c r="C4" s="294"/>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row>
    <row r="5" spans="1:35" ht="15">
      <c r="A5" s="294"/>
      <c r="B5" s="340"/>
      <c r="C5" s="294"/>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row>
    <row r="6" spans="1:35" s="307" customFormat="1" ht="12.75">
      <c r="B6" s="308" t="str">
        <f>Vertaling!B4</f>
      </c>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row>
    <row r="7" spans="1:35" ht="15">
      <c r="A7" s="294"/>
      <c r="B7" s="295"/>
      <c r="C7" s="294"/>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row>
    <row r="8" spans="1:35" ht="30" hidden="1" customHeight="1">
      <c r="A8" s="294"/>
      <c r="B8" s="310" t="s">
        <v>1</v>
      </c>
      <c r="C8" s="297"/>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row>
    <row r="9" spans="1:35" ht="18" hidden="1">
      <c r="A9" s="294"/>
      <c r="B9" s="322" t="s">
        <v>37</v>
      </c>
      <c r="C9" s="298"/>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row>
    <row r="10" spans="1:35" ht="18" customHeight="1">
      <c r="A10" s="294"/>
      <c r="B10" s="299"/>
      <c r="C10" s="298"/>
      <c r="D10" s="296"/>
      <c r="E10" s="300"/>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row>
    <row r="11" spans="1:35" ht="30" customHeight="1">
      <c r="A11" s="294"/>
      <c r="B11" s="311" t="str">
        <f>Vertaling!B310</f>
      </c>
      <c r="C11" s="297"/>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row>
    <row r="12" spans="1:35" ht="30" customHeight="1">
      <c r="B12" s="318" t="str">
        <f>Vertaling!B311</f>
      </c>
      <c r="C12" s="315"/>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row>
    <row r="13" spans="1:35" ht="18" customHeight="1">
      <c r="B13" s="319" t="str">
        <f>Vertaling!B312</f>
      </c>
      <c r="C13" s="315"/>
      <c r="D13" s="296"/>
      <c r="E13" s="320"/>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row>
    <row r="14" spans="1:35" ht="18" customHeight="1">
      <c r="B14" s="220"/>
      <c r="C14" s="321"/>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row>
    <row r="15" spans="1:35" ht="27.75" customHeight="1">
      <c r="B15" s="318" t="str">
        <f>Vertaling!B313</f>
      </c>
      <c r="C15" s="315"/>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row>
    <row r="16" spans="1:35" ht="18" customHeight="1">
      <c r="B16" s="319" t="str">
        <f>Vertaling!B7</f>
      </c>
      <c r="C16" s="315"/>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row>
    <row r="17" spans="1:35" ht="14.25" customHeight="1">
      <c r="B17" s="319" t="str">
        <f>Vertaling!B8</f>
      </c>
      <c r="C17" s="315"/>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row>
    <row r="18" spans="1:35" ht="15">
      <c r="A18" s="316"/>
      <c r="B18" s="319" t="str">
        <f>Vertaling!B9</f>
      </c>
      <c r="C18" s="321"/>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row>
    <row r="19" spans="1:35" ht="15">
      <c r="A19" s="316"/>
      <c r="B19" s="319" t="str">
        <f>Vertaling!B10</f>
      </c>
      <c r="C19" s="315"/>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row>
    <row r="20" spans="1:35" ht="15">
      <c r="A20" s="316"/>
      <c r="B20" s="319"/>
      <c r="C20" s="315"/>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row>
    <row r="21" spans="1:35">
      <c r="A21" s="302"/>
      <c r="B21" s="301"/>
      <c r="C21" s="298"/>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row>
    <row r="22" spans="1:35" ht="25.5">
      <c r="A22" s="302"/>
      <c r="B22" s="312" t="str">
        <f>Vertaling!B17</f>
      </c>
      <c r="C22" s="298"/>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row>
    <row r="23" spans="1:35" ht="30" customHeight="1">
      <c r="A23" s="316"/>
      <c r="B23" s="317" t="str">
        <f>Vertaling!B18</f>
      </c>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row>
    <row r="24" spans="1:35" ht="20.25">
      <c r="A24" s="303"/>
      <c r="B24" s="304"/>
      <c r="C24" s="298"/>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row>
    <row r="25" spans="1:35" ht="69.75" customHeight="1">
      <c r="A25" s="313"/>
      <c r="B25" s="314" t="str">
        <f>Vertaling!B22</f>
      </c>
      <c r="C25" s="315"/>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row>
    <row r="26" spans="1:35">
      <c r="A26" s="294"/>
      <c r="B26" s="305"/>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row>
    <row r="27" spans="1:35">
      <c r="A27" s="324" t="s">
        <v>1845</v>
      </c>
      <c r="B27" s="294"/>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row>
    <row r="28" spans="1:35">
      <c r="A28" s="306"/>
      <c r="B28" s="306"/>
      <c r="C28" s="296"/>
      <c r="D28" s="296"/>
      <c r="E28" s="296"/>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row>
    <row r="29" spans="1:35">
      <c r="A29" s="296"/>
      <c r="B29" s="296"/>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row>
    <row r="30" spans="1:35">
      <c r="A30" s="296"/>
      <c r="B30" s="296"/>
      <c r="C30" s="296"/>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row>
    <row r="31" spans="1:35">
      <c r="A31" s="296"/>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row>
    <row r="32" spans="1:35">
      <c r="A32" s="296"/>
      <c r="B32" s="296"/>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row>
    <row r="33" spans="1:35">
      <c r="A33" s="296"/>
      <c r="B33" s="296"/>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row>
    <row r="34" spans="1:35">
      <c r="A34" s="296"/>
      <c r="B34" s="296"/>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row>
    <row r="35" spans="1:35">
      <c r="A35" s="296"/>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row>
    <row r="36" spans="1:35">
      <c r="A36" s="296"/>
      <c r="B36" s="296"/>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row>
    <row r="37" spans="1:35">
      <c r="A37" s="296"/>
      <c r="B37" s="296"/>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row>
    <row r="38" spans="1:35">
      <c r="A38" s="296"/>
      <c r="B38" s="296"/>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row>
    <row r="39" spans="1:35">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row>
    <row r="40" spans="1:35">
      <c r="A40" s="296"/>
      <c r="B40" s="296"/>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row>
    <row r="41" spans="1:35">
      <c r="A41" s="296"/>
      <c r="B41" s="296"/>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row>
    <row r="42" spans="1:35">
      <c r="A42" s="296"/>
      <c r="B42" s="296"/>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row>
    <row r="43" spans="1:35">
      <c r="A43" s="296"/>
      <c r="B43" s="296"/>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row>
    <row r="44" spans="1:35">
      <c r="A44" s="296"/>
      <c r="B44" s="296"/>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row>
    <row r="45" spans="1:35">
      <c r="A45" s="296"/>
      <c r="B45" s="296"/>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row>
    <row r="46" spans="1:35">
      <c r="A46" s="296"/>
      <c r="B46" s="296"/>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row>
    <row r="47" spans="1:35">
      <c r="A47" s="296"/>
      <c r="B47" s="296"/>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row>
    <row r="48" spans="1:35">
      <c r="A48" s="296"/>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row>
    <row r="49" spans="1:35">
      <c r="A49" s="296"/>
      <c r="B49" s="296"/>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row>
    <row r="50" spans="1:35">
      <c r="A50" s="296"/>
      <c r="B50" s="296"/>
      <c r="C50" s="296"/>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row>
    <row r="51" spans="1:35">
      <c r="A51" s="296"/>
      <c r="B51" s="296"/>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row>
    <row r="52" spans="1:35">
      <c r="A52" s="296"/>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row>
    <row r="53" spans="1:35">
      <c r="A53" s="296"/>
      <c r="B53" s="296"/>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row>
    <row r="54" spans="1:35">
      <c r="A54" s="296"/>
      <c r="B54" s="296"/>
      <c r="C54" s="296"/>
      <c r="D54" s="296"/>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row>
    <row r="55" spans="1:35">
      <c r="A55" s="296"/>
      <c r="B55" s="296"/>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c r="AI55" s="296"/>
    </row>
    <row r="56" spans="1:35">
      <c r="A56" s="296"/>
      <c r="B56" s="296"/>
      <c r="C56" s="296"/>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6"/>
      <c r="AI56" s="296"/>
    </row>
    <row r="57" spans="1:35">
      <c r="A57" s="296"/>
      <c r="B57" s="296"/>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c r="AI57" s="296"/>
    </row>
    <row r="58" spans="1:35">
      <c r="A58" s="296"/>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row>
    <row r="59" spans="1:35">
      <c r="A59" s="296"/>
      <c r="B59" s="296"/>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row>
    <row r="60" spans="1:35">
      <c r="A60" s="296"/>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row>
    <row r="61" spans="1:35">
      <c r="A61" s="296"/>
      <c r="B61" s="296"/>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row>
    <row r="62" spans="1:35">
      <c r="A62" s="296"/>
      <c r="B62" s="296"/>
      <c r="C62" s="296"/>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row>
    <row r="63" spans="1:35">
      <c r="A63" s="296"/>
      <c r="B63" s="296"/>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row>
    <row r="64" spans="1:35">
      <c r="A64" s="296"/>
      <c r="B64" s="296"/>
      <c r="C64" s="296"/>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c r="AI64" s="296"/>
    </row>
    <row r="65" spans="1:35">
      <c r="A65" s="296"/>
      <c r="B65" s="296"/>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row>
    <row r="66" spans="1:35">
      <c r="A66" s="296"/>
      <c r="B66" s="296"/>
      <c r="C66" s="296"/>
      <c r="D66" s="296"/>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96"/>
      <c r="AF66" s="296"/>
      <c r="AG66" s="296"/>
      <c r="AH66" s="296"/>
      <c r="AI66" s="296"/>
    </row>
    <row r="67" spans="1:35">
      <c r="A67" s="296"/>
      <c r="B67" s="296"/>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row>
    <row r="68" spans="1:35">
      <c r="A68" s="296"/>
      <c r="B68" s="296"/>
      <c r="C68" s="296"/>
      <c r="D68" s="296"/>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row>
    <row r="69" spans="1:35">
      <c r="A69" s="296"/>
      <c r="B69" s="296"/>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row>
    <row r="70" spans="1:35">
      <c r="A70" s="296"/>
      <c r="B70" s="296"/>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c r="AH70" s="296"/>
      <c r="AI70" s="296"/>
    </row>
    <row r="71" spans="1:35">
      <c r="A71" s="296"/>
      <c r="B71" s="296"/>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6"/>
      <c r="AI71" s="296"/>
    </row>
    <row r="72" spans="1:35">
      <c r="A72" s="296"/>
      <c r="B72" s="296"/>
    </row>
    <row r="73" spans="1:35">
      <c r="A73" s="296"/>
      <c r="B73" s="296"/>
    </row>
    <row r="74" spans="1:35">
      <c r="A74" s="296"/>
      <c r="B74" s="296"/>
    </row>
    <row r="75" spans="1:35">
      <c r="A75" s="296"/>
      <c r="B75" s="296"/>
    </row>
    <row r="76" spans="1:35">
      <c r="A76" s="296"/>
      <c r="B76" s="296"/>
    </row>
    <row r="77" spans="1:35">
      <c r="A77" s="296"/>
      <c r="B77" s="296"/>
    </row>
    <row r="78" spans="1:35">
      <c r="A78" s="296"/>
      <c r="B78" s="296"/>
    </row>
    <row r="79" spans="1:35">
      <c r="A79" s="296"/>
      <c r="B79" s="296"/>
    </row>
    <row r="80" spans="1:35">
      <c r="A80" s="296"/>
      <c r="B80" s="296"/>
    </row>
    <row r="81" spans="1:2">
      <c r="A81" s="296"/>
      <c r="B81" s="296"/>
    </row>
    <row r="82" spans="1:2">
      <c r="A82" s="296"/>
      <c r="B82" s="296"/>
    </row>
    <row r="83" spans="1:2">
      <c r="A83" s="296"/>
      <c r="B83" s="296"/>
    </row>
    <row r="84" spans="1:2">
      <c r="A84" s="296"/>
      <c r="B84" s="296"/>
    </row>
    <row r="85" spans="1:2">
      <c r="A85" s="296"/>
      <c r="B85" s="296"/>
    </row>
    <row r="86" spans="1:2">
      <c r="A86" s="296"/>
      <c r="B86" s="296"/>
    </row>
    <row r="87" spans="1:2">
      <c r="A87" s="296"/>
      <c r="B87" s="296"/>
    </row>
    <row r="88" spans="1:2">
      <c r="A88" s="296"/>
      <c r="B88" s="296"/>
    </row>
    <row r="89" spans="1:2">
      <c r="A89" s="296"/>
      <c r="B89" s="296"/>
    </row>
    <row r="90" spans="1:2">
      <c r="A90" s="296"/>
      <c r="B90" s="296"/>
    </row>
    <row r="91" spans="1:2">
      <c r="A91" s="296"/>
      <c r="B91" s="296"/>
    </row>
  </sheetData>
  <hyperlinks>
    <hyperlink ref="B13" location="'Le mie risposte'!A1" display="'Le mie risposte'!A1" xr:uid="{00000000-0004-0000-0000-000000000000}"/>
    <hyperlink ref="B16" location="'Previsione di investimento'!A1" display="'Previsione di investimento'!A1" xr:uid="{00000000-0004-0000-0000-000003000000}"/>
    <hyperlink ref="B17" location="'Previsione di investimento'!A1" display="'Previsione di investimento'!A1" xr:uid="{964AE6AA-A7F3-448D-BB52-959D1A538F6D}"/>
    <hyperlink ref="B18" location="'Previsione di gestione'!A1" display="'Previsione di gestione'!A1" xr:uid="{47A35D03-9AA4-44D8-8D42-3508FC4C733A}"/>
    <hyperlink ref="B19" location="'Previsione di liquidità'!A1" display="'Previsione di liquidità'!A1" xr:uid="{83DC4051-4D52-4654-96C7-D3F19AD4F76E}"/>
  </hyperlinks>
  <pageMargins left="0.7" right="0.7" top="0.75" bottom="0.75" header="0.51180555555555551" footer="0.51180555555555551"/>
  <pageSetup paperSize="9" scale="67" firstPageNumber="0" fitToHeight="0" orientation="portrait" horizontalDpi="300" verticalDpi="300" r:id="rId1"/>
  <headerFooter alignWithMargins="0"/>
  <colBreaks count="2" manualBreakCount="2">
    <brk id="1" max="1048575" man="1"/>
    <brk id="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8"/>
  <dimension ref="A1:S186"/>
  <sheetViews>
    <sheetView workbookViewId="0">
      <selection activeCell="B174" sqref="B174"/>
    </sheetView>
  </sheetViews>
  <sheetFormatPr defaultColWidth="9.140625" defaultRowHeight="12.75"/>
  <cols>
    <col min="1" max="1" width="9.140625" style="4"/>
    <col min="2" max="3" width="20.7109375" style="4" bestFit="1" customWidth="1"/>
    <col min="4" max="4" width="22.140625" style="4" bestFit="1" customWidth="1"/>
    <col min="5" max="5" width="23.85546875" style="4" bestFit="1" customWidth="1"/>
    <col min="6" max="6" width="23" style="4" bestFit="1" customWidth="1"/>
    <col min="7" max="7" width="15.42578125" style="4" customWidth="1"/>
    <col min="8" max="8" width="9.140625" style="4"/>
    <col min="9" max="9" width="19" style="4" customWidth="1"/>
    <col min="10" max="10" width="9.140625" style="4"/>
    <col min="11" max="11" width="20.85546875" style="4" customWidth="1"/>
    <col min="12" max="12" width="9.140625" style="4"/>
    <col min="13" max="13" width="18.85546875" style="4" customWidth="1"/>
    <col min="14" max="14" width="9.140625" style="4"/>
    <col min="15" max="15" width="17.85546875" style="4" customWidth="1"/>
    <col min="16" max="16" width="10.5703125" style="4" bestFit="1" customWidth="1"/>
    <col min="17" max="17" width="16.42578125" style="4" bestFit="1" customWidth="1"/>
    <col min="18" max="16384" width="9.140625" style="4"/>
  </cols>
  <sheetData>
    <row r="1" spans="1:18">
      <c r="A1" s="4">
        <v>1</v>
      </c>
      <c r="B1" s="5" t="s">
        <v>1315</v>
      </c>
      <c r="C1" s="5" t="s">
        <v>34</v>
      </c>
      <c r="D1" s="5" t="s">
        <v>35</v>
      </c>
      <c r="E1" s="5" t="s">
        <v>36</v>
      </c>
      <c r="F1" s="5" t="s">
        <v>37</v>
      </c>
      <c r="I1" s="5" t="s">
        <v>1316</v>
      </c>
      <c r="K1" s="5" t="s">
        <v>1317</v>
      </c>
      <c r="M1" s="5" t="s">
        <v>855</v>
      </c>
      <c r="O1" s="5" t="s">
        <v>478</v>
      </c>
    </row>
    <row r="2" spans="1:18">
      <c r="A2" s="4">
        <v>2</v>
      </c>
      <c r="B2" s="6" t="str">
        <f>HLOOKUP(Introduzione!$B$9,$C:$J,$A2,FALSE)</f>
      </c>
      <c r="C2" s="4" t="s">
        <v>24</v>
      </c>
      <c r="D2" s="4" t="s">
        <v>1318</v>
      </c>
      <c r="E2" s="4" t="s">
        <v>1319</v>
      </c>
      <c r="F2" s="4" t="s">
        <v>1320</v>
      </c>
      <c r="I2" s="6">
        <v>1</v>
      </c>
      <c r="K2" s="7" t="s">
        <v>292</v>
      </c>
      <c r="M2" s="7" t="s">
        <v>472</v>
      </c>
      <c r="O2" s="6" t="s">
        <v>1321</v>
      </c>
      <c r="P2" s="8">
        <v>0</v>
      </c>
    </row>
    <row r="3" spans="1:18">
      <c r="A3" s="4">
        <v>3</v>
      </c>
      <c r="B3" s="6" t="str">
        <f>HLOOKUP(Introduzione!$B$9,$C:$J,$A3,FALSE)</f>
      </c>
      <c r="C3" s="4" t="s">
        <v>1321</v>
      </c>
      <c r="D3" s="4" t="s">
        <v>1322</v>
      </c>
      <c r="E3" s="4" t="s">
        <v>1322</v>
      </c>
      <c r="F3" s="4" t="s">
        <v>1322</v>
      </c>
      <c r="I3" s="6">
        <v>2</v>
      </c>
      <c r="K3" s="7" t="s">
        <v>296</v>
      </c>
      <c r="M3" s="7" t="s">
        <v>475</v>
      </c>
      <c r="O3" s="6" t="s">
        <v>1323</v>
      </c>
      <c r="P3" s="8">
        <v>1</v>
      </c>
    </row>
    <row r="4" spans="1:18">
      <c r="A4" s="4">
        <v>4</v>
      </c>
      <c r="I4" s="6">
        <v>3</v>
      </c>
      <c r="K4" s="7" t="s">
        <v>300</v>
      </c>
      <c r="M4" s="7" t="s">
        <v>478</v>
      </c>
      <c r="O4" s="6" t="s">
        <v>1324</v>
      </c>
      <c r="P4" s="8">
        <v>2</v>
      </c>
    </row>
    <row r="5" spans="1:18">
      <c r="A5" s="4">
        <v>5</v>
      </c>
      <c r="I5" s="6">
        <v>4</v>
      </c>
      <c r="K5" s="7" t="s">
        <v>304</v>
      </c>
      <c r="M5" s="7" t="s">
        <v>480</v>
      </c>
      <c r="O5" s="6" t="s">
        <v>1325</v>
      </c>
      <c r="P5" s="8">
        <v>3</v>
      </c>
    </row>
    <row r="6" spans="1:18">
      <c r="A6" s="4">
        <v>6</v>
      </c>
      <c r="B6" s="5" t="s">
        <v>1326</v>
      </c>
      <c r="G6" s="8">
        <f>IF('Le mie risposte'!$D$253="",0,VLOOKUP('Le mie risposte'!$D$253,dropdowns!$B$8:$G$11,6,FALSE))</f>
      </c>
      <c r="H6" s="8">
        <f>IF('Le mie risposte'!$F$253="",0,VLOOKUP('Le mie risposte'!$F$253,dropdowns!$B$8:$G$11,6,FALSE))</f>
      </c>
      <c r="I6" s="6">
        <v>5</v>
      </c>
      <c r="K6" s="7" t="s">
        <v>308</v>
      </c>
      <c r="M6" s="7" t="s">
        <v>483</v>
      </c>
      <c r="O6" s="6" t="s">
        <v>1327</v>
      </c>
      <c r="P6" s="8">
        <v>4</v>
      </c>
    </row>
    <row r="7" spans="1:18">
      <c r="A7" s="4">
        <v>7</v>
      </c>
      <c r="B7" s="5" t="s">
        <v>1328</v>
      </c>
      <c r="G7" s="8">
        <f>IF('Le mie risposte'!$D$171="",0,VLOOKUP('Le mie risposte'!$D$171,dropdowns!$B$8:$G$11,6,FALSE))</f>
      </c>
      <c r="H7" s="8">
        <f>IF('Le mie risposte'!$F$171="",0,VLOOKUP('Le mie risposte'!$F$171,dropdowns!$B$8:$G$11,6,FALSE))</f>
      </c>
      <c r="I7" s="6">
        <v>6</v>
      </c>
      <c r="K7" s="7" t="s">
        <v>526</v>
      </c>
      <c r="O7" s="6" t="s">
        <v>1329</v>
      </c>
      <c r="P7" s="8">
        <v>5</v>
      </c>
    </row>
    <row r="8" spans="1:18">
      <c r="A8" s="4">
        <v>8</v>
      </c>
      <c r="B8" s="6" t="str">
        <f>HLOOKUP(Introduzione!$B$9,$C:$J,$A8,FALSE)</f>
      </c>
      <c r="C8" s="4" t="s">
        <v>1330</v>
      </c>
      <c r="D8" s="4" t="s">
        <v>1330</v>
      </c>
      <c r="E8" s="4" t="s">
        <v>1331</v>
      </c>
      <c r="F8" s="4" t="s">
        <v>1332</v>
      </c>
      <c r="G8" s="9">
        <v>0</v>
      </c>
      <c r="I8" s="6">
        <v>7</v>
      </c>
      <c r="K8" s="7" t="s">
        <v>320</v>
      </c>
    </row>
    <row r="9" spans="1:18">
      <c r="A9" s="4">
        <v>9</v>
      </c>
      <c r="B9" s="6" t="str">
        <f>HLOOKUP(Introduzione!$B$9,$C:$J,$A9,FALSE)</f>
      </c>
      <c r="C9" s="4" t="s">
        <v>1333</v>
      </c>
      <c r="D9" s="4" t="s">
        <v>1334</v>
      </c>
      <c r="E9" s="4" t="s">
        <v>1335</v>
      </c>
      <c r="F9" s="4" t="s">
        <v>1336</v>
      </c>
      <c r="G9" s="9">
        <v>0</v>
      </c>
      <c r="I9" s="6">
        <v>8</v>
      </c>
      <c r="K9" s="7" t="s">
        <v>324</v>
      </c>
    </row>
    <row r="10" spans="1:18">
      <c r="A10" s="4">
        <v>10</v>
      </c>
      <c r="B10" s="6" t="str">
        <f>HLOOKUP(Introduzione!$B$9,$C:$J,$A10,FALSE)</f>
      </c>
      <c r="C10" s="4" t="s">
        <v>1337</v>
      </c>
      <c r="D10" s="4" t="s">
        <v>1338</v>
      </c>
      <c r="E10" s="4" t="s">
        <v>1339</v>
      </c>
      <c r="F10" s="4" t="s">
        <v>1340</v>
      </c>
      <c r="G10" s="9">
        <v>1</v>
      </c>
      <c r="I10" s="6">
        <v>9</v>
      </c>
      <c r="K10" s="7" t="s">
        <v>328</v>
      </c>
    </row>
    <row r="11" spans="1:18">
      <c r="A11" s="4">
        <v>11</v>
      </c>
      <c r="B11" s="6" t="str">
        <f>HLOOKUP(Introduzione!$B$9,$C:$J,$A11,FALSE)</f>
      </c>
      <c r="C11" s="4" t="s">
        <v>1341</v>
      </c>
      <c r="D11" s="4" t="s">
        <v>1342</v>
      </c>
      <c r="E11" s="4" t="s">
        <v>1343</v>
      </c>
      <c r="F11" s="4" t="s">
        <v>1344</v>
      </c>
      <c r="G11" s="9">
        <v>2</v>
      </c>
      <c r="I11" s="6">
        <v>10</v>
      </c>
      <c r="K11" s="7" t="s">
        <v>1345</v>
      </c>
    </row>
    <row r="12" spans="1:18">
      <c r="A12" s="4">
        <v>12</v>
      </c>
    </row>
    <row r="13" spans="1:18">
      <c r="A13" s="4">
        <v>13</v>
      </c>
      <c r="B13" s="5" t="s">
        <v>1346</v>
      </c>
      <c r="I13" s="5" t="s">
        <v>572</v>
      </c>
    </row>
    <row r="14" spans="1:18">
      <c r="A14" s="4">
        <v>14</v>
      </c>
      <c r="B14" s="6" t="str">
        <f>HLOOKUP(Introduzione!$B$9,$C:$J,$A14,FALSE)</f>
      </c>
      <c r="C14" s="4" t="s">
        <v>1347</v>
      </c>
      <c r="D14" s="4" t="s">
        <v>1348</v>
      </c>
      <c r="E14" s="4" t="s">
        <v>1349</v>
      </c>
      <c r="F14" s="4" t="s">
        <v>1350</v>
      </c>
      <c r="G14" s="8">
        <v>30</v>
      </c>
      <c r="I14" s="6" t="s">
        <v>1351</v>
      </c>
      <c r="O14" s="5" t="s">
        <v>1352</v>
      </c>
      <c r="P14" s="5" t="s">
        <v>1352</v>
      </c>
      <c r="Q14" s="5" t="s">
        <v>717</v>
      </c>
      <c r="R14" s="64" t="e">
        <f>IF('Le mie risposte'!$F$144="",0,VLOOKUP('Le mie risposte'!$F$144,dropdowns!$O$14:$P$24,2,FALSE))</f>
      </c>
    </row>
    <row r="15" spans="1:18">
      <c r="A15" s="4">
        <v>15</v>
      </c>
      <c r="B15" s="6" t="str">
        <f>HLOOKUP(Introduzione!$B$9,$C:$J,$A15,FALSE)</f>
      </c>
      <c r="C15" s="4" t="s">
        <v>1353</v>
      </c>
      <c r="D15" s="4" t="s">
        <v>1353</v>
      </c>
      <c r="E15" s="4" t="s">
        <v>1354</v>
      </c>
      <c r="F15" s="4" t="s">
        <v>1355</v>
      </c>
      <c r="G15" s="8">
        <f>13/3</f>
      </c>
      <c r="I15" s="6" t="s">
        <v>1356</v>
      </c>
      <c r="K15" s="5" t="s">
        <v>1357</v>
      </c>
      <c r="L15" s="7"/>
      <c r="M15" s="5" t="s">
        <v>1358</v>
      </c>
      <c r="O15" s="7" t="s">
        <v>9</v>
      </c>
      <c r="P15" s="7">
        <v>1</v>
      </c>
      <c r="Q15" s="5" t="s">
        <v>721</v>
      </c>
      <c r="R15" s="64" t="e">
        <f>IF('Le mie risposte'!$F$148="",0,VLOOKUP('Le mie risposte'!$F$148,dropdowns!$O$14:$P$24,2,FALSE))</f>
      </c>
    </row>
    <row r="16" spans="1:18">
      <c r="A16" s="4">
        <v>16</v>
      </c>
      <c r="B16" s="6" t="str">
        <f>HLOOKUP(Introduzione!$B$9,$C:$J,$A16,FALSE)</f>
      </c>
      <c r="C16" s="4" t="s">
        <v>657</v>
      </c>
      <c r="D16" s="4" t="s">
        <v>658</v>
      </c>
      <c r="E16" s="4" t="s">
        <v>659</v>
      </c>
      <c r="F16" s="4" t="s">
        <v>1359</v>
      </c>
      <c r="G16" s="8">
        <v>1</v>
      </c>
      <c r="I16" s="6" t="s">
        <v>1360</v>
      </c>
      <c r="K16" s="7" t="s">
        <v>1361</v>
      </c>
      <c r="L16" s="7">
        <v>13</v>
      </c>
      <c r="M16" s="7" t="s">
        <v>1362</v>
      </c>
      <c r="O16" s="7" t="s">
        <v>11</v>
      </c>
      <c r="P16" s="7">
        <v>2</v>
      </c>
      <c r="Q16" s="5" t="s">
        <v>1363</v>
      </c>
      <c r="R16" s="64" t="e">
        <f>IF('Le mie risposte'!$F$129="",0,VLOOKUP('Le mie risposte'!$F$129,dropdowns!$O$14:$P$24,2,FALSE))</f>
      </c>
    </row>
    <row r="17" spans="1:19">
      <c r="A17" s="4">
        <v>17</v>
      </c>
      <c r="B17" s="6" t="str">
        <f>HLOOKUP(Introduzione!$B$9,$C:$J,$A17,FALSE)</f>
      </c>
      <c r="C17" s="4" t="s">
        <v>1364</v>
      </c>
      <c r="D17" s="4" t="s">
        <v>1365</v>
      </c>
      <c r="E17" s="4" t="s">
        <v>1366</v>
      </c>
      <c r="F17" s="4" t="s">
        <v>1366</v>
      </c>
      <c r="G17" s="8">
        <v>1</v>
      </c>
      <c r="I17" s="6" t="s">
        <v>1367</v>
      </c>
      <c r="K17" s="7" t="s">
        <v>1368</v>
      </c>
      <c r="L17" s="7">
        <v>0</v>
      </c>
      <c r="M17" s="7" t="s">
        <v>1369</v>
      </c>
      <c r="O17" s="7" t="s">
        <v>12</v>
      </c>
      <c r="P17" s="7">
        <v>3</v>
      </c>
      <c r="Q17" s="5" t="s">
        <v>1370</v>
      </c>
      <c r="R17" s="64" t="e">
        <f>IF('Le mie risposte'!$F$137="",0,VLOOKUP('Le mie risposte'!$F$137,dropdowns!$O$14:$P$24,2,FALSE))</f>
      </c>
    </row>
    <row r="18" spans="1:19">
      <c r="A18" s="4">
        <v>18</v>
      </c>
      <c r="B18" s="6" t="str">
        <f>HLOOKUP(Introduzione!$B$9,$C:$J,$A18,FALSE)</f>
      </c>
      <c r="C18" s="4" t="s">
        <v>1371</v>
      </c>
      <c r="D18" s="4" t="s">
        <v>1372</v>
      </c>
      <c r="E18" s="4" t="s">
        <v>1373</v>
      </c>
      <c r="F18" s="4" t="s">
        <v>1373</v>
      </c>
      <c r="G18" s="8">
        <v>1</v>
      </c>
      <c r="I18" s="6" t="s">
        <v>1374</v>
      </c>
      <c r="K18" s="7" t="s">
        <v>1375</v>
      </c>
      <c r="L18" s="7">
        <v>1</v>
      </c>
      <c r="O18" s="7" t="s">
        <v>13</v>
      </c>
      <c r="P18" s="7">
        <v>4</v>
      </c>
      <c r="Q18" s="5" t="s">
        <v>1376</v>
      </c>
      <c r="R18" s="64" t="e">
        <f>IF('Le mie risposte'!$F$24="",0,VLOOKUP('Le mie risposte'!$F$24,dropdowns!$K$15:$L$25,2,FALSE))</f>
      </c>
      <c r="S18" s="64" t="e">
        <f>IF('Le mie risposte'!$D$24="",0,VLOOKUP('Le mie risposte'!$D$24,dropdowns!$K$15:$L$25,2,FALSE))</f>
      </c>
    </row>
    <row r="19" spans="1:19">
      <c r="A19" s="4">
        <v>19</v>
      </c>
      <c r="B19" s="6" t="str">
        <f>HLOOKUP(Introduzione!$B$9,$C:$J,$A19,FALSE)</f>
      </c>
      <c r="C19" s="4" t="s">
        <v>1377</v>
      </c>
      <c r="D19" s="4" t="s">
        <v>1378</v>
      </c>
      <c r="E19" s="4" t="s">
        <v>1379</v>
      </c>
      <c r="F19" s="4" t="s">
        <v>1380</v>
      </c>
      <c r="G19" s="8">
        <v>1</v>
      </c>
      <c r="K19" s="7" t="s">
        <v>1381</v>
      </c>
      <c r="L19" s="7">
        <v>2</v>
      </c>
      <c r="O19" s="7" t="s">
        <v>14</v>
      </c>
      <c r="P19" s="7">
        <v>5</v>
      </c>
    </row>
    <row r="20" spans="1:19">
      <c r="A20" s="4">
        <v>20</v>
      </c>
      <c r="K20" s="7" t="s">
        <v>1382</v>
      </c>
      <c r="L20" s="7">
        <v>3</v>
      </c>
      <c r="O20" s="7" t="s">
        <v>15</v>
      </c>
      <c r="P20" s="7">
        <v>6</v>
      </c>
    </row>
    <row r="21" spans="1:19">
      <c r="A21" s="4">
        <v>21</v>
      </c>
      <c r="B21" s="5" t="s">
        <v>1383</v>
      </c>
      <c r="K21" s="7" t="s">
        <v>1384</v>
      </c>
      <c r="L21" s="7">
        <v>4</v>
      </c>
      <c r="O21" s="7" t="s">
        <v>16</v>
      </c>
      <c r="P21" s="7">
        <v>7</v>
      </c>
    </row>
    <row r="22" spans="1:19">
      <c r="A22" s="4">
        <v>22</v>
      </c>
      <c r="B22" s="6" t="str">
        <f>HLOOKUP(Introduzione!$B$9,$C:$J,$A22,FALSE)</f>
      </c>
      <c r="C22" s="4" t="s">
        <v>1347</v>
      </c>
      <c r="D22" s="4" t="s">
        <v>1348</v>
      </c>
      <c r="E22" s="4" t="s">
        <v>1349</v>
      </c>
      <c r="F22" s="4" t="s">
        <v>1350</v>
      </c>
      <c r="K22" s="7" t="s">
        <v>1385</v>
      </c>
      <c r="L22" s="7">
        <v>5</v>
      </c>
      <c r="O22" s="7" t="s">
        <v>17</v>
      </c>
      <c r="P22" s="7">
        <v>8</v>
      </c>
    </row>
    <row r="23" spans="1:19">
      <c r="A23" s="4">
        <v>23</v>
      </c>
      <c r="B23" s="6" t="str">
        <f>HLOOKUP(Introduzione!$B$9,$C:$J,$A23,FALSE)</f>
      </c>
      <c r="C23" s="4" t="s">
        <v>1353</v>
      </c>
      <c r="D23" s="4" t="s">
        <v>1353</v>
      </c>
      <c r="E23" s="4" t="s">
        <v>1354</v>
      </c>
      <c r="F23" s="4" t="s">
        <v>1355</v>
      </c>
      <c r="K23" s="7" t="s">
        <v>1386</v>
      </c>
      <c r="L23" s="7">
        <v>6</v>
      </c>
      <c r="O23" s="7" t="s">
        <v>18</v>
      </c>
      <c r="P23" s="7">
        <v>9</v>
      </c>
    </row>
    <row r="24" spans="1:19">
      <c r="A24" s="4">
        <v>24</v>
      </c>
      <c r="K24" s="7"/>
      <c r="L24" s="7"/>
    </row>
    <row r="25" spans="1:19">
      <c r="A25" s="4">
        <v>25</v>
      </c>
      <c r="B25" s="5" t="s">
        <v>1387</v>
      </c>
    </row>
    <row r="26" spans="1:19">
      <c r="A26" s="4">
        <v>26</v>
      </c>
      <c r="B26" s="6">
        <f>HLOOKUP(Introduzione!$B$9,$C:$J,$A26,FALSE)</f>
      </c>
      <c r="C26" s="4">
        <v>0</v>
      </c>
      <c r="D26" s="4">
        <v>0</v>
      </c>
      <c r="E26" s="4">
        <v>0</v>
      </c>
      <c r="F26" s="4">
        <v>0</v>
      </c>
    </row>
    <row r="27" spans="1:19">
      <c r="A27" s="4">
        <v>27</v>
      </c>
      <c r="B27" s="6">
        <f>HLOOKUP(Introduzione!$B$9,$C:$J,$A27,FALSE)</f>
      </c>
      <c r="C27" s="4">
        <v>1</v>
      </c>
      <c r="D27" s="4">
        <v>1</v>
      </c>
      <c r="E27" s="4">
        <v>1</v>
      </c>
      <c r="F27" s="4">
        <v>1</v>
      </c>
    </row>
    <row r="28" spans="1:19">
      <c r="A28" s="4">
        <v>28</v>
      </c>
      <c r="B28" s="6">
        <f>HLOOKUP(Introduzione!$B$9,$C:$J,$A28,FALSE)</f>
      </c>
      <c r="C28" s="4">
        <v>2</v>
      </c>
      <c r="D28" s="4">
        <v>2</v>
      </c>
      <c r="E28" s="4">
        <v>2</v>
      </c>
      <c r="F28" s="4">
        <v>2</v>
      </c>
    </row>
    <row r="29" spans="1:19">
      <c r="A29" s="4">
        <v>29</v>
      </c>
      <c r="B29" s="6">
        <f>HLOOKUP(Introduzione!$B$9,$C:$J,$A29,FALSE)</f>
      </c>
      <c r="C29" s="4">
        <v>3</v>
      </c>
      <c r="D29" s="4">
        <v>3</v>
      </c>
      <c r="E29" s="4">
        <v>3</v>
      </c>
      <c r="F29" s="4">
        <v>3</v>
      </c>
    </row>
    <row r="30" spans="1:19">
      <c r="A30" s="4">
        <v>30</v>
      </c>
      <c r="B30" s="6">
        <f>HLOOKUP(Introduzione!$B$9,$C:$J,$A30,FALSE)</f>
      </c>
      <c r="C30" s="4">
        <v>4</v>
      </c>
      <c r="D30" s="4">
        <v>4</v>
      </c>
      <c r="E30" s="4">
        <v>4</v>
      </c>
      <c r="F30" s="4">
        <v>4</v>
      </c>
    </row>
    <row r="31" spans="1:19">
      <c r="A31" s="4">
        <v>31</v>
      </c>
      <c r="B31" s="6">
        <f>HLOOKUP(Introduzione!$B$9,$C:$J,$A31,FALSE)</f>
      </c>
      <c r="C31" s="4">
        <v>5</v>
      </c>
      <c r="D31" s="4">
        <v>5</v>
      </c>
      <c r="E31" s="4">
        <v>5</v>
      </c>
      <c r="F31" s="4">
        <v>5</v>
      </c>
    </row>
    <row r="32" spans="1:19">
      <c r="A32" s="4">
        <v>32</v>
      </c>
      <c r="B32" s="6">
        <f>HLOOKUP(Introduzione!$B$9,$C:$J,$A32,FALSE)</f>
      </c>
      <c r="C32" s="4">
        <v>6</v>
      </c>
      <c r="D32" s="4">
        <v>6</v>
      </c>
      <c r="E32" s="4">
        <v>6</v>
      </c>
      <c r="F32" s="4">
        <v>6</v>
      </c>
    </row>
    <row r="33" spans="1:6">
      <c r="A33" s="4">
        <v>33</v>
      </c>
      <c r="B33" s="6">
        <f>HLOOKUP(Introduzione!$B$9,$C:$J,$A33,FALSE)</f>
      </c>
      <c r="C33" s="4">
        <v>7</v>
      </c>
      <c r="D33" s="4">
        <v>7</v>
      </c>
      <c r="E33" s="4">
        <v>7</v>
      </c>
      <c r="F33" s="4">
        <v>7</v>
      </c>
    </row>
    <row r="34" spans="1:6">
      <c r="A34" s="4">
        <v>34</v>
      </c>
      <c r="B34" s="6">
        <f>HLOOKUP(Introduzione!$B$9,$C:$J,$A34,FALSE)</f>
      </c>
      <c r="C34" s="4">
        <v>8</v>
      </c>
      <c r="D34" s="4">
        <v>8</v>
      </c>
      <c r="E34" s="4">
        <v>8</v>
      </c>
      <c r="F34" s="4">
        <v>8</v>
      </c>
    </row>
    <row r="35" spans="1:6">
      <c r="A35" s="4">
        <v>35</v>
      </c>
      <c r="B35" s="6">
        <f>HLOOKUP(Introduzione!$B$9,$C:$J,$A35,FALSE)</f>
      </c>
      <c r="C35" s="4">
        <v>9</v>
      </c>
      <c r="D35" s="4">
        <v>9</v>
      </c>
      <c r="E35" s="4">
        <v>9</v>
      </c>
      <c r="F35" s="4">
        <v>9</v>
      </c>
    </row>
    <row r="36" spans="1:6">
      <c r="A36" s="4">
        <v>36</v>
      </c>
      <c r="B36" s="6">
        <f>HLOOKUP(Introduzione!$B$9,$C:$J,$A36,FALSE)</f>
      </c>
      <c r="C36" s="4">
        <v>10</v>
      </c>
      <c r="D36" s="4">
        <v>10</v>
      </c>
      <c r="E36" s="4">
        <v>10</v>
      </c>
      <c r="F36" s="4">
        <v>10</v>
      </c>
    </row>
    <row r="37" spans="1:6">
      <c r="A37" s="4">
        <v>37</v>
      </c>
      <c r="B37" s="6">
        <f>HLOOKUP(Introduzione!$B$9,$C:$J,$A37,FALSE)</f>
      </c>
      <c r="C37" s="4">
        <v>11</v>
      </c>
      <c r="D37" s="4">
        <v>11</v>
      </c>
      <c r="E37" s="4">
        <v>11</v>
      </c>
      <c r="F37" s="4">
        <v>11</v>
      </c>
    </row>
    <row r="38" spans="1:6">
      <c r="A38" s="4">
        <v>38</v>
      </c>
      <c r="B38" s="6">
        <f>HLOOKUP(Introduzione!$B$9,$C:$J,$A38,FALSE)</f>
      </c>
      <c r="C38" s="4">
        <v>12</v>
      </c>
      <c r="D38" s="4">
        <v>12</v>
      </c>
      <c r="E38" s="4">
        <v>12</v>
      </c>
      <c r="F38" s="4">
        <v>12</v>
      </c>
    </row>
    <row r="39" spans="1:6">
      <c r="A39" s="4">
        <v>39</v>
      </c>
    </row>
    <row r="40" spans="1:6">
      <c r="A40" s="4">
        <v>40</v>
      </c>
      <c r="B40" s="5" t="s">
        <v>1388</v>
      </c>
    </row>
    <row r="41" spans="1:6">
      <c r="A41" s="4">
        <v>41</v>
      </c>
      <c r="B41" s="10">
        <f>HLOOKUP(Introduzione!$B$9,$C:$J,$A41,FALSE)</f>
      </c>
      <c r="C41" s="93">
        <v>0.1</v>
      </c>
      <c r="D41" s="93">
        <v>0.1</v>
      </c>
      <c r="E41" s="93">
        <v>0.1</v>
      </c>
      <c r="F41" s="93">
        <v>0.1</v>
      </c>
    </row>
    <row r="42" spans="1:6">
      <c r="A42" s="4">
        <v>42</v>
      </c>
      <c r="B42" s="10">
        <f>HLOOKUP(Introduzione!$B$9,$C:$J,$A42,FALSE)</f>
      </c>
      <c r="C42" s="93">
        <v>0.2</v>
      </c>
      <c r="D42" s="93">
        <v>0.2</v>
      </c>
      <c r="E42" s="93">
        <v>0.2</v>
      </c>
      <c r="F42" s="93">
        <v>0.2</v>
      </c>
    </row>
    <row r="43" spans="1:6">
      <c r="A43" s="4">
        <v>43</v>
      </c>
      <c r="B43" s="10">
        <f>HLOOKUP(Introduzione!$B$9,$C:$J,$A43,FALSE)</f>
      </c>
      <c r="C43" s="93">
        <v>0.30000000000000004</v>
      </c>
      <c r="D43" s="93">
        <v>0.30000000000000004</v>
      </c>
      <c r="E43" s="93">
        <v>0.30000000000000004</v>
      </c>
      <c r="F43" s="93">
        <v>0.30000000000000004</v>
      </c>
    </row>
    <row r="44" spans="1:6">
      <c r="A44" s="4">
        <v>44</v>
      </c>
      <c r="B44" s="10">
        <f>HLOOKUP(Introduzione!$B$9,$C:$J,$A44,FALSE)</f>
      </c>
      <c r="C44" s="93">
        <v>0.4</v>
      </c>
      <c r="D44" s="93">
        <v>0.4</v>
      </c>
      <c r="E44" s="93">
        <v>0.4</v>
      </c>
      <c r="F44" s="93">
        <v>0.4</v>
      </c>
    </row>
    <row r="45" spans="1:6">
      <c r="A45" s="4">
        <v>45</v>
      </c>
      <c r="B45" s="10">
        <f>HLOOKUP(Introduzione!$B$9,$C:$J,$A45,FALSE)</f>
      </c>
      <c r="C45" s="93">
        <v>0.5</v>
      </c>
      <c r="D45" s="93">
        <v>0.5</v>
      </c>
      <c r="E45" s="93">
        <v>0.5</v>
      </c>
      <c r="F45" s="93">
        <v>0.5</v>
      </c>
    </row>
    <row r="46" spans="1:6">
      <c r="A46" s="4">
        <v>46</v>
      </c>
      <c r="B46" s="10">
        <f>HLOOKUP(Introduzione!$B$9,$C:$J,$A46,FALSE)</f>
      </c>
      <c r="C46" s="93">
        <v>0.60000000000000009</v>
      </c>
      <c r="D46" s="93">
        <v>0.60000000000000009</v>
      </c>
      <c r="E46" s="93">
        <v>0.60000000000000009</v>
      </c>
      <c r="F46" s="93">
        <v>0.60000000000000009</v>
      </c>
    </row>
    <row r="47" spans="1:6">
      <c r="A47" s="4">
        <v>47</v>
      </c>
      <c r="B47" s="10">
        <f>HLOOKUP(Introduzione!$B$9,$C:$J,$A47,FALSE)</f>
      </c>
      <c r="C47" s="93">
        <v>0.7</v>
      </c>
      <c r="D47" s="93">
        <v>0.7</v>
      </c>
      <c r="E47" s="93">
        <v>0.7</v>
      </c>
      <c r="F47" s="93">
        <v>0.7</v>
      </c>
    </row>
    <row r="48" spans="1:6">
      <c r="A48" s="4">
        <v>48</v>
      </c>
      <c r="B48" s="10">
        <f>HLOOKUP(Introduzione!$B$9,$C:$J,$A48,FALSE)</f>
      </c>
      <c r="C48" s="93">
        <v>0.8</v>
      </c>
      <c r="D48" s="93">
        <v>0.8</v>
      </c>
      <c r="E48" s="93">
        <v>0.8</v>
      </c>
      <c r="F48" s="93">
        <v>0.8</v>
      </c>
    </row>
    <row r="49" spans="1:6">
      <c r="A49" s="4">
        <v>49</v>
      </c>
      <c r="B49" s="10">
        <f>HLOOKUP(Introduzione!$B$9,$C:$J,$A49,FALSE)</f>
      </c>
      <c r="C49" s="93">
        <v>0.9</v>
      </c>
      <c r="D49" s="93">
        <v>0.9</v>
      </c>
      <c r="E49" s="93">
        <v>0.9</v>
      </c>
      <c r="F49" s="93">
        <v>0.9</v>
      </c>
    </row>
    <row r="50" spans="1:6">
      <c r="A50" s="4">
        <v>50</v>
      </c>
      <c r="B50" s="10">
        <f>HLOOKUP(Introduzione!$B$9,$C:$J,$A50,FALSE)</f>
      </c>
      <c r="C50" s="93">
        <v>1</v>
      </c>
      <c r="D50" s="93">
        <v>1</v>
      </c>
      <c r="E50" s="93">
        <v>1</v>
      </c>
      <c r="F50" s="93">
        <v>1</v>
      </c>
    </row>
    <row r="51" spans="1:6">
      <c r="A51" s="4">
        <v>51</v>
      </c>
      <c r="C51" s="93"/>
      <c r="D51" s="93"/>
      <c r="E51" s="93"/>
      <c r="F51" s="93"/>
    </row>
    <row r="52" spans="1:6">
      <c r="A52" s="4">
        <v>52</v>
      </c>
      <c r="C52" s="93"/>
      <c r="D52" s="93"/>
      <c r="E52" s="93"/>
      <c r="F52" s="93"/>
    </row>
    <row r="53" spans="1:6">
      <c r="A53" s="4">
        <v>53</v>
      </c>
      <c r="B53" s="5" t="s">
        <v>1389</v>
      </c>
      <c r="C53" s="93"/>
      <c r="D53" s="93"/>
      <c r="E53" s="93"/>
      <c r="F53" s="93"/>
    </row>
    <row r="54" spans="1:6">
      <c r="A54" s="4">
        <v>54</v>
      </c>
      <c r="B54" s="94">
        <f>HLOOKUP(Introduzione!$B$9,$C:$J,$A54,FALSE)</f>
      </c>
      <c r="C54" s="95">
        <v>0</v>
      </c>
      <c r="D54" s="95">
        <v>0</v>
      </c>
      <c r="E54" s="95">
        <v>0</v>
      </c>
      <c r="F54" s="95">
        <v>0</v>
      </c>
    </row>
    <row r="55" spans="1:6">
      <c r="A55" s="4">
        <v>55</v>
      </c>
      <c r="B55" s="94">
        <f>HLOOKUP(Introduzione!$B$9,$C:$J,$A55,FALSE)</f>
      </c>
      <c r="C55" s="95">
        <v>0.04</v>
      </c>
      <c r="D55" s="95">
        <v>0.04</v>
      </c>
      <c r="E55" s="95">
        <v>0.04</v>
      </c>
      <c r="F55" s="95">
        <v>0.04</v>
      </c>
    </row>
    <row r="56" spans="1:6">
      <c r="A56" s="4">
        <v>56</v>
      </c>
      <c r="B56" s="94">
        <f>HLOOKUP(Introduzione!$B$9,$C:$J,$A56,FALSE)</f>
      </c>
      <c r="C56" s="95">
        <v>0.1</v>
      </c>
      <c r="D56" s="95">
        <v>0.1</v>
      </c>
      <c r="E56" s="95">
        <v>0.1</v>
      </c>
      <c r="F56" s="95">
        <v>0.1</v>
      </c>
    </row>
    <row r="57" spans="1:6">
      <c r="A57" s="4">
        <v>57</v>
      </c>
      <c r="B57" s="94">
        <f>HLOOKUP(Introduzione!$B$9,$C:$J,$A57,FALSE)</f>
      </c>
      <c r="C57" s="95">
        <v>0.21</v>
      </c>
      <c r="D57" s="95">
        <v>0.21</v>
      </c>
      <c r="E57" s="95">
        <v>0.21</v>
      </c>
      <c r="F57" s="95">
        <v>0.22</v>
      </c>
    </row>
    <row r="58" spans="1:6">
      <c r="A58" s="4">
        <v>58</v>
      </c>
    </row>
    <row r="59" spans="1:6">
      <c r="A59" s="4">
        <v>59</v>
      </c>
      <c r="B59" s="5" t="s">
        <v>546</v>
      </c>
    </row>
    <row r="60" spans="1:6">
      <c r="A60" s="4">
        <v>60</v>
      </c>
      <c r="B60" s="6" t="str">
        <f>HLOOKUP(Introduzione!$B$9,$C:$J,$A60,FALSE)</f>
      </c>
      <c r="C60" s="4" t="s">
        <v>1390</v>
      </c>
      <c r="D60" s="4" t="s">
        <v>1390</v>
      </c>
      <c r="E60" s="4" t="s">
        <v>1390</v>
      </c>
      <c r="F60" s="4" t="s">
        <v>1390</v>
      </c>
    </row>
    <row r="61" spans="1:6">
      <c r="A61" s="4">
        <v>61</v>
      </c>
      <c r="B61" s="6" t="str">
        <f>HLOOKUP(Introduzione!$B$9,$C:$J,$A61,FALSE)</f>
      </c>
      <c r="C61" s="4" t="s">
        <v>1391</v>
      </c>
      <c r="D61" s="4" t="s">
        <v>1392</v>
      </c>
      <c r="E61" s="4" t="s">
        <v>1393</v>
      </c>
      <c r="F61" s="4" t="s">
        <v>1394</v>
      </c>
    </row>
    <row r="62" spans="1:6">
      <c r="A62" s="4">
        <v>62</v>
      </c>
      <c r="B62" s="6" t="str">
        <f>HLOOKUP(Introduzione!$B$9,$C:$J,$A62,FALSE)</f>
      </c>
      <c r="C62" s="4" t="s">
        <v>1395</v>
      </c>
      <c r="D62" s="4" t="s">
        <v>1396</v>
      </c>
      <c r="E62" s="4" t="s">
        <v>1397</v>
      </c>
      <c r="F62" s="4" t="s">
        <v>1398</v>
      </c>
    </row>
    <row r="63" spans="1:6">
      <c r="A63" s="4">
        <v>63</v>
      </c>
      <c r="B63" s="6" t="str">
        <f>HLOOKUP(Introduzione!$B$9,$C:$J,$A63,FALSE)</f>
      </c>
      <c r="C63" s="4" t="s">
        <v>1399</v>
      </c>
      <c r="D63" s="4" t="s">
        <v>1400</v>
      </c>
      <c r="E63" s="4" t="s">
        <v>1401</v>
      </c>
      <c r="F63" s="4" t="s">
        <v>1402</v>
      </c>
    </row>
    <row r="64" spans="1:6">
      <c r="A64" s="4">
        <v>64</v>
      </c>
      <c r="B64" s="6" t="str">
        <f>HLOOKUP(Introduzione!$B$9,$C:$J,$A64,FALSE)</f>
      </c>
      <c r="C64" s="4" t="s">
        <v>1403</v>
      </c>
      <c r="D64" s="4" t="s">
        <v>1404</v>
      </c>
      <c r="E64" s="4" t="s">
        <v>1405</v>
      </c>
      <c r="F64" s="4" t="s">
        <v>1406</v>
      </c>
    </row>
    <row r="65" spans="1:6">
      <c r="A65" s="4">
        <v>65</v>
      </c>
    </row>
    <row r="66" spans="1:6">
      <c r="A66" s="4">
        <v>66</v>
      </c>
      <c r="B66" s="5" t="s">
        <v>1407</v>
      </c>
    </row>
    <row r="67" spans="1:6">
      <c r="A67" s="4">
        <v>67</v>
      </c>
      <c r="B67" s="6" t="str">
        <f>HLOOKUP(Introduzione!$B$9,$C:$J,$A67,FALSE)</f>
      </c>
      <c r="C67" s="4" t="s">
        <v>1408</v>
      </c>
      <c r="D67" s="4" t="s">
        <v>1409</v>
      </c>
      <c r="E67" s="4" t="s">
        <v>1410</v>
      </c>
      <c r="F67" s="4" t="s">
        <v>1411</v>
      </c>
    </row>
    <row r="68" spans="1:6">
      <c r="A68" s="4">
        <v>68</v>
      </c>
      <c r="B68" s="6" t="str">
        <f>HLOOKUP(Introduzione!$B$9,$C:$J,$A68,FALSE)</f>
      </c>
      <c r="C68" s="4" t="s">
        <v>1412</v>
      </c>
      <c r="D68" s="4" t="s">
        <v>1413</v>
      </c>
      <c r="E68" s="4" t="s">
        <v>1414</v>
      </c>
      <c r="F68" s="4" t="s">
        <v>1415</v>
      </c>
    </row>
    <row r="69" spans="1:6">
      <c r="A69" s="4">
        <v>69</v>
      </c>
      <c r="B69" s="6" t="str">
        <f>HLOOKUP(Introduzione!$B$9,$C:$J,$A69,FALSE)</f>
      </c>
      <c r="C69" s="4" t="s">
        <v>1416</v>
      </c>
      <c r="D69" s="4" t="s">
        <v>1417</v>
      </c>
      <c r="E69" s="4" t="s">
        <v>1418</v>
      </c>
      <c r="F69" s="4" t="s">
        <v>1419</v>
      </c>
    </row>
    <row r="70" spans="1:6">
      <c r="A70" s="4">
        <v>70</v>
      </c>
      <c r="B70" s="6" t="str">
        <f>HLOOKUP(Introduzione!$B$9,$C:$J,$A70,FALSE)</f>
      </c>
      <c r="C70" s="4" t="s">
        <v>1420</v>
      </c>
      <c r="D70" s="4" t="s">
        <v>1421</v>
      </c>
      <c r="E70" s="4" t="s">
        <v>1422</v>
      </c>
      <c r="F70" s="4" t="s">
        <v>1423</v>
      </c>
    </row>
    <row r="71" spans="1:6">
      <c r="A71" s="4">
        <v>71</v>
      </c>
      <c r="B71" s="6" t="str">
        <f>HLOOKUP(Introduzione!$B$9,$C:$J,$A71,FALSE)</f>
      </c>
      <c r="C71" s="4" t="s">
        <v>1424</v>
      </c>
      <c r="D71" s="4" t="s">
        <v>1425</v>
      </c>
      <c r="E71" s="4" t="s">
        <v>1426</v>
      </c>
      <c r="F71" s="4" t="s">
        <v>1427</v>
      </c>
    </row>
    <row r="72" spans="1:6">
      <c r="A72" s="4">
        <v>72</v>
      </c>
      <c r="B72" s="6" t="str">
        <f>HLOOKUP(Introduzione!$B$9,$C:$J,$A72,FALSE)</f>
      </c>
      <c r="C72" s="4" t="s">
        <v>1428</v>
      </c>
      <c r="D72" s="4" t="s">
        <v>1429</v>
      </c>
      <c r="E72" s="4" t="s">
        <v>1430</v>
      </c>
      <c r="F72" s="4" t="s">
        <v>1431</v>
      </c>
    </row>
    <row r="73" spans="1:6">
      <c r="A73" s="4">
        <v>73</v>
      </c>
    </row>
    <row r="74" spans="1:6">
      <c r="A74" s="4">
        <v>74</v>
      </c>
      <c r="B74" s="5" t="s">
        <v>546</v>
      </c>
    </row>
    <row r="75" spans="1:6">
      <c r="A75" s="4">
        <v>75</v>
      </c>
      <c r="B75" s="6" t="str">
        <f>HLOOKUP(Introduzione!$B$9,$C:$J,$A75,FALSE)</f>
      </c>
      <c r="C75" s="4" t="s">
        <v>1432</v>
      </c>
      <c r="D75" s="4" t="s">
        <v>1433</v>
      </c>
      <c r="E75" s="4" t="s">
        <v>1434</v>
      </c>
      <c r="F75" s="4" t="s">
        <v>1435</v>
      </c>
    </row>
    <row r="76" spans="1:6">
      <c r="A76" s="4">
        <v>76</v>
      </c>
      <c r="B76" s="6" t="str">
        <f>HLOOKUP(Introduzione!$B$9,$C:$J,$A76,FALSE)</f>
      </c>
      <c r="C76" s="4" t="s">
        <v>1436</v>
      </c>
      <c r="D76" s="4" t="s">
        <v>1437</v>
      </c>
      <c r="E76" s="4" t="s">
        <v>1438</v>
      </c>
      <c r="F76" s="4" t="s">
        <v>1439</v>
      </c>
    </row>
    <row r="77" spans="1:6">
      <c r="A77" s="4">
        <v>77</v>
      </c>
    </row>
    <row r="78" spans="1:6">
      <c r="A78" s="4">
        <v>78</v>
      </c>
      <c r="B78" s="5" t="s">
        <v>1316</v>
      </c>
    </row>
    <row r="79" spans="1:6">
      <c r="A79" s="4">
        <v>79</v>
      </c>
      <c r="B79" s="6">
        <f>HLOOKUP(Introduzione!$B$9,$C:$J,$A79,FALSE)</f>
      </c>
      <c r="C79" s="4">
        <v>1</v>
      </c>
      <c r="D79" s="4">
        <v>1</v>
      </c>
      <c r="E79" s="4">
        <v>1</v>
      </c>
      <c r="F79" s="4">
        <v>1</v>
      </c>
    </row>
    <row r="80" spans="1:6">
      <c r="A80" s="4">
        <v>80</v>
      </c>
      <c r="B80" s="6">
        <f>HLOOKUP(Introduzione!$B$9,$C:$J,$A80,FALSE)</f>
      </c>
      <c r="C80" s="4">
        <v>2</v>
      </c>
      <c r="D80" s="4">
        <v>2</v>
      </c>
      <c r="E80" s="4">
        <v>2</v>
      </c>
      <c r="F80" s="4">
        <v>2</v>
      </c>
    </row>
    <row r="81" spans="1:6">
      <c r="A81" s="4">
        <v>81</v>
      </c>
      <c r="B81" s="6">
        <f>HLOOKUP(Introduzione!$B$9,$C:$J,$A81,FALSE)</f>
      </c>
      <c r="C81" s="4">
        <v>3</v>
      </c>
      <c r="D81" s="4">
        <v>3</v>
      </c>
      <c r="E81" s="4">
        <v>3</v>
      </c>
      <c r="F81" s="4">
        <v>3</v>
      </c>
    </row>
    <row r="82" spans="1:6">
      <c r="A82" s="4">
        <v>82</v>
      </c>
      <c r="B82" s="6">
        <f>HLOOKUP(Introduzione!$B$9,$C:$J,$A82,FALSE)</f>
      </c>
      <c r="C82" s="4">
        <v>4</v>
      </c>
      <c r="D82" s="4">
        <v>4</v>
      </c>
      <c r="E82" s="4">
        <v>4</v>
      </c>
      <c r="F82" s="4">
        <v>4</v>
      </c>
    </row>
    <row r="83" spans="1:6">
      <c r="A83" s="4">
        <v>83</v>
      </c>
      <c r="B83" s="6">
        <f>HLOOKUP(Introduzione!$B$9,$C:$J,$A83,FALSE)</f>
      </c>
      <c r="C83" s="4">
        <v>5</v>
      </c>
      <c r="D83" s="4">
        <v>5</v>
      </c>
      <c r="E83" s="4">
        <v>5</v>
      </c>
      <c r="F83" s="4">
        <v>5</v>
      </c>
    </row>
    <row r="84" spans="1:6">
      <c r="A84" s="4">
        <v>84</v>
      </c>
      <c r="B84" s="6">
        <f>HLOOKUP(Introduzione!$B$9,$C:$J,$A84,FALSE)</f>
      </c>
      <c r="C84" s="4">
        <v>6</v>
      </c>
      <c r="D84" s="4">
        <v>6</v>
      </c>
      <c r="E84" s="4">
        <v>6</v>
      </c>
      <c r="F84" s="4">
        <v>6</v>
      </c>
    </row>
    <row r="85" spans="1:6">
      <c r="A85" s="4">
        <v>85</v>
      </c>
      <c r="B85" s="6">
        <f>HLOOKUP(Introduzione!$B$9,$C:$J,$A85,FALSE)</f>
      </c>
      <c r="C85" s="4">
        <v>7</v>
      </c>
      <c r="D85" s="4">
        <v>7</v>
      </c>
      <c r="E85" s="4">
        <v>7</v>
      </c>
      <c r="F85" s="4">
        <v>7</v>
      </c>
    </row>
    <row r="86" spans="1:6">
      <c r="A86" s="4">
        <v>86</v>
      </c>
      <c r="B86" s="6">
        <f>HLOOKUP(Introduzione!$B$9,$C:$J,$A86,FALSE)</f>
      </c>
      <c r="C86" s="4">
        <v>8</v>
      </c>
      <c r="D86" s="4">
        <v>8</v>
      </c>
      <c r="E86" s="4">
        <v>8</v>
      </c>
      <c r="F86" s="4">
        <v>8</v>
      </c>
    </row>
    <row r="87" spans="1:6">
      <c r="A87" s="4">
        <v>87</v>
      </c>
      <c r="B87" s="6">
        <f>HLOOKUP(Introduzione!$B$9,$C:$J,$A87,FALSE)</f>
      </c>
      <c r="C87" s="4">
        <v>9</v>
      </c>
      <c r="D87" s="4">
        <v>9</v>
      </c>
      <c r="E87" s="4">
        <v>9</v>
      </c>
      <c r="F87" s="4">
        <v>9</v>
      </c>
    </row>
    <row r="88" spans="1:6">
      <c r="A88" s="4">
        <v>88</v>
      </c>
      <c r="B88" s="6">
        <f>HLOOKUP(Introduzione!$B$9,$C:$J,$A88,FALSE)</f>
      </c>
      <c r="C88" s="4">
        <v>10</v>
      </c>
      <c r="D88" s="4">
        <v>10</v>
      </c>
      <c r="E88" s="4">
        <v>10</v>
      </c>
      <c r="F88" s="4">
        <v>10</v>
      </c>
    </row>
    <row r="89" spans="1:6">
      <c r="A89" s="4">
        <v>89</v>
      </c>
    </row>
    <row r="90" spans="1:6">
      <c r="A90" s="4">
        <v>90</v>
      </c>
      <c r="B90" s="5" t="s">
        <v>572</v>
      </c>
    </row>
    <row r="91" spans="1:6">
      <c r="A91" s="4">
        <v>91</v>
      </c>
      <c r="B91" s="6" t="str">
        <f>HLOOKUP(Introduzione!$B$9,$C:$J,$A91,FALSE)</f>
      </c>
      <c r="C91" s="4" t="s">
        <v>1351</v>
      </c>
      <c r="D91" s="4" t="s">
        <v>1440</v>
      </c>
      <c r="E91" s="4" t="s">
        <v>1441</v>
      </c>
      <c r="F91" s="4" t="s">
        <v>1442</v>
      </c>
    </row>
    <row r="92" spans="1:6">
      <c r="A92" s="4">
        <v>92</v>
      </c>
      <c r="B92" s="6" t="str">
        <f>HLOOKUP(Introduzione!$B$9,$C:$J,$A92,FALSE)</f>
      </c>
      <c r="C92" s="4" t="s">
        <v>1356</v>
      </c>
      <c r="D92" s="4" t="s">
        <v>1443</v>
      </c>
      <c r="E92" s="4" t="s">
        <v>1444</v>
      </c>
      <c r="F92" s="4" t="s">
        <v>1445</v>
      </c>
    </row>
    <row r="93" spans="1:6">
      <c r="A93" s="4">
        <v>93</v>
      </c>
      <c r="B93" s="6" t="str">
        <f>HLOOKUP(Introduzione!$B$9,$C:$J,$A93,FALSE)</f>
      </c>
      <c r="C93" s="4" t="s">
        <v>1360</v>
      </c>
      <c r="D93" s="4" t="s">
        <v>1360</v>
      </c>
      <c r="E93" s="4" t="s">
        <v>1446</v>
      </c>
      <c r="F93" s="4" t="s">
        <v>1447</v>
      </c>
    </row>
    <row r="94" spans="1:6">
      <c r="A94" s="4">
        <v>94</v>
      </c>
      <c r="B94" s="6" t="str">
        <f>HLOOKUP(Introduzione!$B$9,$C:$J,$A94,FALSE)</f>
      </c>
      <c r="C94" s="4" t="s">
        <v>1367</v>
      </c>
      <c r="D94" s="4" t="s">
        <v>1448</v>
      </c>
      <c r="E94" s="4" t="s">
        <v>1449</v>
      </c>
      <c r="F94" s="4" t="s">
        <v>1450</v>
      </c>
    </row>
    <row r="95" spans="1:6">
      <c r="A95" s="4">
        <v>95</v>
      </c>
      <c r="B95" s="6" t="str">
        <f>HLOOKUP(Introduzione!$B$9,$C:$J,$A95,FALSE)</f>
      </c>
      <c r="C95" s="4" t="s">
        <v>1374</v>
      </c>
      <c r="D95" s="4" t="s">
        <v>1451</v>
      </c>
      <c r="E95" s="4" t="s">
        <v>1452</v>
      </c>
      <c r="F95" s="4" t="s">
        <v>1453</v>
      </c>
    </row>
    <row r="96" spans="1:6">
      <c r="A96" s="4">
        <v>96</v>
      </c>
    </row>
    <row r="97" spans="1:7">
      <c r="A97" s="4">
        <v>97</v>
      </c>
      <c r="B97" s="5" t="s">
        <v>1317</v>
      </c>
    </row>
    <row r="98" spans="1:7">
      <c r="A98" s="4">
        <v>98</v>
      </c>
      <c r="B98" s="7" t="str">
        <f>HLOOKUP(Introduzione!$B$9,$C:$J,$A98,FALSE)</f>
      </c>
      <c r="C98" s="4" t="s">
        <v>292</v>
      </c>
      <c r="D98" s="4" t="s">
        <v>293</v>
      </c>
      <c r="E98" s="4" t="s">
        <v>511</v>
      </c>
      <c r="F98" s="4" t="s">
        <v>1454</v>
      </c>
    </row>
    <row r="99" spans="1:7">
      <c r="A99" s="4">
        <v>99</v>
      </c>
      <c r="B99" s="7" t="str">
        <f>HLOOKUP(Introduzione!$B$9,$C:$J,$A99,FALSE)</f>
      </c>
      <c r="C99" s="4" t="s">
        <v>296</v>
      </c>
      <c r="D99" s="4" t="s">
        <v>297</v>
      </c>
      <c r="E99" s="4" t="s">
        <v>1455</v>
      </c>
      <c r="F99" s="4" t="s">
        <v>1455</v>
      </c>
    </row>
    <row r="100" spans="1:7">
      <c r="A100" s="4">
        <v>100</v>
      </c>
      <c r="B100" s="7" t="str">
        <f>HLOOKUP(Introduzione!$B$9,$C:$J,$A100,FALSE)</f>
      </c>
      <c r="C100" s="4" t="s">
        <v>300</v>
      </c>
      <c r="D100" s="4" t="s">
        <v>301</v>
      </c>
      <c r="E100" s="4" t="s">
        <v>302</v>
      </c>
      <c r="F100" s="4" t="s">
        <v>303</v>
      </c>
    </row>
    <row r="101" spans="1:7">
      <c r="A101" s="4">
        <v>101</v>
      </c>
      <c r="B101" s="7" t="str">
        <f>HLOOKUP(Introduzione!$B$9,$C:$J,$A101,FALSE)</f>
      </c>
      <c r="C101" s="4" t="s">
        <v>304</v>
      </c>
      <c r="D101" s="4" t="s">
        <v>305</v>
      </c>
      <c r="E101" s="4" t="s">
        <v>1456</v>
      </c>
      <c r="F101" s="4" t="s">
        <v>307</v>
      </c>
    </row>
    <row r="102" spans="1:7">
      <c r="A102" s="4">
        <v>102</v>
      </c>
      <c r="B102" s="7" t="str">
        <f>HLOOKUP(Introduzione!$B$9,$C:$J,$A102,FALSE)</f>
      </c>
      <c r="C102" s="4" t="s">
        <v>308</v>
      </c>
      <c r="D102" s="4" t="s">
        <v>309</v>
      </c>
      <c r="E102" s="4" t="s">
        <v>310</v>
      </c>
      <c r="F102" s="4" t="s">
        <v>311</v>
      </c>
    </row>
    <row r="103" spans="1:7">
      <c r="A103" s="4">
        <v>103</v>
      </c>
      <c r="B103" s="7" t="str">
        <f>HLOOKUP(Introduzione!$B$9,$C:$J,$A103,FALSE)</f>
      </c>
      <c r="C103" s="4" t="s">
        <v>526</v>
      </c>
      <c r="D103" s="4" t="s">
        <v>527</v>
      </c>
      <c r="E103" s="4" t="s">
        <v>528</v>
      </c>
      <c r="F103" s="4" t="s">
        <v>1457</v>
      </c>
    </row>
    <row r="104" spans="1:7">
      <c r="A104" s="4">
        <v>104</v>
      </c>
      <c r="B104" s="7" t="str">
        <f>HLOOKUP(Introduzione!$B$9,$C:$J,$A104,FALSE)</f>
      </c>
      <c r="C104" s="4" t="s">
        <v>320</v>
      </c>
      <c r="D104" s="4" t="s">
        <v>321</v>
      </c>
      <c r="E104" s="4" t="s">
        <v>322</v>
      </c>
      <c r="F104" s="4" t="s">
        <v>1458</v>
      </c>
    </row>
    <row r="105" spans="1:7">
      <c r="A105" s="4">
        <v>105</v>
      </c>
      <c r="B105" s="7" t="str">
        <f>HLOOKUP(Introduzione!$B$9,$C:$J,$A105,FALSE)</f>
      </c>
      <c r="C105" s="4" t="s">
        <v>324</v>
      </c>
      <c r="D105" s="4" t="s">
        <v>325</v>
      </c>
      <c r="E105" s="4" t="s">
        <v>1459</v>
      </c>
      <c r="F105" s="4" t="s">
        <v>1460</v>
      </c>
    </row>
    <row r="106" spans="1:7">
      <c r="A106" s="4">
        <v>106</v>
      </c>
      <c r="B106" s="7" t="str">
        <f>HLOOKUP(Introduzione!$B$9,$C:$J,$A106,FALSE)</f>
      </c>
      <c r="C106" s="4" t="s">
        <v>328</v>
      </c>
      <c r="D106" s="4" t="s">
        <v>328</v>
      </c>
      <c r="E106" s="4" t="s">
        <v>1461</v>
      </c>
      <c r="F106" s="4" t="s">
        <v>330</v>
      </c>
    </row>
    <row r="107" spans="1:7">
      <c r="A107" s="4">
        <v>107</v>
      </c>
      <c r="B107" s="7" t="str">
        <f>HLOOKUP(Introduzione!$B$9,$C:$J,$A107,FALSE)</f>
      </c>
      <c r="C107" s="4" t="s">
        <v>1345</v>
      </c>
      <c r="D107" s="4" t="s">
        <v>340</v>
      </c>
      <c r="E107" s="4" t="s">
        <v>1462</v>
      </c>
      <c r="F107" s="4" t="s">
        <v>1463</v>
      </c>
    </row>
    <row r="108" spans="1:7">
      <c r="A108" s="4">
        <v>108</v>
      </c>
    </row>
    <row r="109" spans="1:7">
      <c r="A109" s="4">
        <v>109</v>
      </c>
    </row>
    <row r="110" spans="1:7">
      <c r="A110" s="4">
        <v>110</v>
      </c>
    </row>
    <row r="111" spans="1:7">
      <c r="A111" s="4">
        <v>111</v>
      </c>
      <c r="B111" s="5" t="s">
        <v>1357</v>
      </c>
    </row>
    <row r="112" spans="1:7">
      <c r="A112" s="4">
        <v>112</v>
      </c>
      <c r="B112" s="7" t="str">
        <f>HLOOKUP(Introduzione!$B$9,$C:$J,$A112,FALSE)</f>
      </c>
      <c r="C112" s="4" t="s">
        <v>1361</v>
      </c>
      <c r="D112" s="4" t="s">
        <v>1464</v>
      </c>
      <c r="E112" s="4" t="s">
        <v>1465</v>
      </c>
      <c r="F112" s="4" t="s">
        <v>1466</v>
      </c>
      <c r="G112" s="7">
        <v>13</v>
      </c>
    </row>
    <row r="113" spans="1:7">
      <c r="A113" s="4">
        <v>113</v>
      </c>
      <c r="B113" s="7" t="str">
        <f>HLOOKUP(Introduzione!$B$9,$C:$J,$A113,FALSE)</f>
      </c>
      <c r="C113" s="4" t="s">
        <v>1368</v>
      </c>
      <c r="D113" s="4" t="s">
        <v>1467</v>
      </c>
      <c r="E113" s="4" t="s">
        <v>1468</v>
      </c>
      <c r="F113" s="4" t="s">
        <v>1469</v>
      </c>
      <c r="G113" s="7">
        <v>0</v>
      </c>
    </row>
    <row r="114" spans="1:7">
      <c r="A114" s="4">
        <v>114</v>
      </c>
      <c r="B114" s="7" t="str">
        <f>HLOOKUP(Introduzione!$B$9,$C:$J,$A114,FALSE)</f>
      </c>
      <c r="C114" s="4" t="s">
        <v>1470</v>
      </c>
      <c r="D114" s="4" t="s">
        <v>1471</v>
      </c>
      <c r="E114" s="4" t="s">
        <v>1322</v>
      </c>
      <c r="F114" s="4" t="s">
        <v>1859</v>
      </c>
      <c r="G114" s="7">
        <v>0</v>
      </c>
    </row>
    <row r="115" spans="1:7">
      <c r="A115" s="4">
        <v>115</v>
      </c>
      <c r="B115" s="7" t="str">
        <f>HLOOKUP(Introduzione!$B$9,$C:$J,$A115,FALSE)</f>
      </c>
      <c r="C115" s="4" t="s">
        <v>1472</v>
      </c>
      <c r="D115" s="4" t="s">
        <v>1473</v>
      </c>
      <c r="E115" s="4" t="s">
        <v>1474</v>
      </c>
      <c r="F115" s="4" t="s">
        <v>1475</v>
      </c>
      <c r="G115" s="7">
        <v>1</v>
      </c>
    </row>
    <row r="116" spans="1:7">
      <c r="A116" s="4">
        <v>116</v>
      </c>
      <c r="B116" s="7" t="str">
        <f>HLOOKUP(Introduzione!$B$9,$C:$J,$A116,FALSE)</f>
      </c>
      <c r="C116" s="4" t="s">
        <v>1476</v>
      </c>
      <c r="D116" s="4" t="s">
        <v>1477</v>
      </c>
      <c r="E116" s="4" t="s">
        <v>1478</v>
      </c>
      <c r="F116" s="4" t="s">
        <v>1479</v>
      </c>
      <c r="G116" s="7">
        <v>2</v>
      </c>
    </row>
    <row r="117" spans="1:7">
      <c r="A117" s="4">
        <v>117</v>
      </c>
      <c r="B117" s="7" t="str">
        <f>HLOOKUP(Introduzione!$B$9,$C:$J,$A117,FALSE)</f>
      </c>
      <c r="C117" s="4" t="s">
        <v>1480</v>
      </c>
      <c r="D117" s="4" t="s">
        <v>1481</v>
      </c>
      <c r="E117" s="4" t="s">
        <v>1482</v>
      </c>
      <c r="F117" s="4" t="s">
        <v>1483</v>
      </c>
      <c r="G117" s="7">
        <v>3</v>
      </c>
    </row>
    <row r="118" spans="1:7">
      <c r="A118" s="4">
        <v>118</v>
      </c>
      <c r="B118" s="7" t="str">
        <f>HLOOKUP(Introduzione!$B$9,$C:$J,$A118,FALSE)</f>
      </c>
      <c r="C118" s="4" t="s">
        <v>1484</v>
      </c>
      <c r="D118" s="4" t="s">
        <v>1485</v>
      </c>
      <c r="E118" s="4" t="s">
        <v>1486</v>
      </c>
      <c r="F118" s="4" t="s">
        <v>1487</v>
      </c>
      <c r="G118" s="7">
        <v>4</v>
      </c>
    </row>
    <row r="119" spans="1:7">
      <c r="A119" s="4">
        <v>119</v>
      </c>
      <c r="B119" s="7" t="str">
        <f>HLOOKUP(Introduzione!$B$9,$C:$J,$A119,FALSE)</f>
      </c>
      <c r="C119" s="4" t="s">
        <v>1488</v>
      </c>
      <c r="D119" s="4" t="s">
        <v>1489</v>
      </c>
      <c r="E119" s="4" t="s">
        <v>1490</v>
      </c>
      <c r="F119" s="4" t="s">
        <v>1491</v>
      </c>
      <c r="G119" s="7">
        <v>5</v>
      </c>
    </row>
    <row r="120" spans="1:7">
      <c r="A120" s="4">
        <v>120</v>
      </c>
      <c r="B120" s="7" t="str">
        <f>HLOOKUP(Introduzione!$B$9,$C:$J,$A120,FALSE)</f>
      </c>
      <c r="C120" s="4" t="s">
        <v>1492</v>
      </c>
      <c r="D120" s="4" t="s">
        <v>1493</v>
      </c>
      <c r="E120" s="4" t="s">
        <v>1494</v>
      </c>
      <c r="F120" s="4" t="s">
        <v>1495</v>
      </c>
      <c r="G120" s="7">
        <v>6</v>
      </c>
    </row>
    <row r="121" spans="1:7">
      <c r="A121" s="4">
        <v>121</v>
      </c>
      <c r="B121" s="7"/>
      <c r="G121" s="7"/>
    </row>
    <row r="122" spans="1:7">
      <c r="A122" s="4">
        <v>122</v>
      </c>
    </row>
    <row r="123" spans="1:7">
      <c r="A123" s="4">
        <v>123</v>
      </c>
      <c r="B123" s="5" t="s">
        <v>855</v>
      </c>
    </row>
    <row r="124" spans="1:7">
      <c r="A124" s="4">
        <v>124</v>
      </c>
      <c r="B124" s="7" t="str">
        <f>HLOOKUP(Introduzione!$B$9,$C:$J,$A124,FALSE)</f>
      </c>
      <c r="C124" s="4" t="s">
        <v>472</v>
      </c>
      <c r="E124" s="4" t="s">
        <v>1496</v>
      </c>
      <c r="F124" s="4" t="s">
        <v>1497</v>
      </c>
    </row>
    <row r="125" spans="1:7">
      <c r="A125" s="4">
        <v>125</v>
      </c>
      <c r="B125" s="7" t="str">
        <f>HLOOKUP(Introduzione!$B$9,$C:$J,$A125,FALSE)</f>
      </c>
      <c r="C125" s="4" t="s">
        <v>475</v>
      </c>
      <c r="E125" s="4" t="s">
        <v>1498</v>
      </c>
      <c r="F125" s="4" t="s">
        <v>1499</v>
      </c>
    </row>
    <row r="126" spans="1:7">
      <c r="A126" s="4">
        <v>126</v>
      </c>
      <c r="B126" s="7" t="str">
        <f>HLOOKUP(Introduzione!$B$9,$C:$J,$A126,FALSE)</f>
      </c>
      <c r="C126" s="4" t="s">
        <v>478</v>
      </c>
      <c r="E126" s="4" t="s">
        <v>1500</v>
      </c>
      <c r="F126" s="4" t="s">
        <v>1501</v>
      </c>
    </row>
    <row r="127" spans="1:7">
      <c r="A127" s="4">
        <v>127</v>
      </c>
      <c r="B127" s="7" t="str">
        <f>HLOOKUP(Introduzione!$B$9,$C:$J,$A127,FALSE)</f>
      </c>
      <c r="C127" s="4" t="s">
        <v>480</v>
      </c>
      <c r="E127" s="4" t="s">
        <v>1502</v>
      </c>
      <c r="F127" s="4" t="s">
        <v>1503</v>
      </c>
    </row>
    <row r="128" spans="1:7">
      <c r="A128" s="4">
        <v>128</v>
      </c>
      <c r="B128" s="7" t="str">
        <f>HLOOKUP(Introduzione!$B$9,$C:$J,$A128,FALSE)</f>
      </c>
      <c r="C128" s="4" t="s">
        <v>483</v>
      </c>
      <c r="E128" s="4" t="s">
        <v>1504</v>
      </c>
      <c r="F128" s="4" t="s">
        <v>1505</v>
      </c>
    </row>
    <row r="129" spans="1:7">
      <c r="A129" s="4">
        <v>129</v>
      </c>
    </row>
    <row r="130" spans="1:7">
      <c r="A130" s="4">
        <v>130</v>
      </c>
      <c r="B130" s="5" t="s">
        <v>1358</v>
      </c>
    </row>
    <row r="131" spans="1:7">
      <c r="A131" s="4">
        <v>131</v>
      </c>
      <c r="B131" s="7" t="str">
        <f>HLOOKUP(Introduzione!$B$9,$C:$J,$A131,FALSE)</f>
      </c>
      <c r="C131" s="4" t="s">
        <v>1362</v>
      </c>
      <c r="D131" s="4" t="s">
        <v>1433</v>
      </c>
      <c r="E131" s="4" t="s">
        <v>1506</v>
      </c>
      <c r="F131" s="4" t="s">
        <v>1435</v>
      </c>
    </row>
    <row r="132" spans="1:7">
      <c r="A132" s="4">
        <v>132</v>
      </c>
      <c r="B132" s="7" t="str">
        <f>HLOOKUP(Introduzione!$B$9,$C:$J,$A132,FALSE)</f>
      </c>
      <c r="C132" s="4" t="s">
        <v>1369</v>
      </c>
      <c r="D132" s="4" t="s">
        <v>1437</v>
      </c>
      <c r="E132" s="4" t="s">
        <v>1507</v>
      </c>
      <c r="F132" s="4" t="s">
        <v>1439</v>
      </c>
    </row>
    <row r="133" spans="1:7">
      <c r="A133" s="4">
        <v>133</v>
      </c>
    </row>
    <row r="134" spans="1:7">
      <c r="A134" s="4">
        <v>134</v>
      </c>
      <c r="B134" s="5" t="s">
        <v>478</v>
      </c>
    </row>
    <row r="135" spans="1:7">
      <c r="A135" s="4">
        <v>135</v>
      </c>
      <c r="B135" s="6" t="str">
        <f>HLOOKUP(Introduzione!$B$9,$C:$J,$A135,FALSE)</f>
      </c>
      <c r="C135" s="4" t="s">
        <v>1321</v>
      </c>
      <c r="D135" s="4" t="s">
        <v>1322</v>
      </c>
      <c r="E135" s="4" t="s">
        <v>1322</v>
      </c>
      <c r="F135" s="4" t="s">
        <v>1322</v>
      </c>
      <c r="G135" s="8">
        <v>0</v>
      </c>
    </row>
    <row r="136" spans="1:7">
      <c r="A136" s="4">
        <v>136</v>
      </c>
      <c r="B136" s="6" t="str">
        <f>HLOOKUP(Introduzione!$B$9,$C:$J,$A136,FALSE)</f>
      </c>
      <c r="C136" s="4" t="s">
        <v>1323</v>
      </c>
      <c r="D136" s="4" t="s">
        <v>1508</v>
      </c>
      <c r="E136" s="4" t="s">
        <v>1509</v>
      </c>
      <c r="F136" s="4" t="s">
        <v>1510</v>
      </c>
      <c r="G136" s="8">
        <v>1</v>
      </c>
    </row>
    <row r="137" spans="1:7">
      <c r="A137" s="4">
        <v>137</v>
      </c>
      <c r="B137" s="6" t="str">
        <f>HLOOKUP(Introduzione!$B$9,$C:$J,$A137,FALSE)</f>
      </c>
      <c r="C137" s="4" t="s">
        <v>1324</v>
      </c>
      <c r="D137" s="4" t="s">
        <v>1511</v>
      </c>
      <c r="E137" s="4" t="s">
        <v>1512</v>
      </c>
      <c r="F137" s="4" t="s">
        <v>1513</v>
      </c>
      <c r="G137" s="8">
        <v>2</v>
      </c>
    </row>
    <row r="138" spans="1:7">
      <c r="A138" s="4">
        <v>138</v>
      </c>
      <c r="B138" s="6" t="str">
        <f>HLOOKUP(Introduzione!$B$9,$C:$J,$A138,FALSE)</f>
      </c>
      <c r="C138" s="4" t="s">
        <v>1325</v>
      </c>
      <c r="D138" s="4" t="s">
        <v>1514</v>
      </c>
      <c r="E138" s="4" t="s">
        <v>1515</v>
      </c>
      <c r="F138" s="4" t="s">
        <v>1516</v>
      </c>
      <c r="G138" s="8">
        <v>3</v>
      </c>
    </row>
    <row r="139" spans="1:7">
      <c r="A139" s="4">
        <v>139</v>
      </c>
      <c r="B139" s="6" t="str">
        <f>HLOOKUP(Introduzione!$B$9,$C:$J,$A139,FALSE)</f>
      </c>
      <c r="C139" s="4" t="s">
        <v>1327</v>
      </c>
      <c r="D139" s="4" t="s">
        <v>1517</v>
      </c>
      <c r="E139" s="4" t="s">
        <v>1518</v>
      </c>
      <c r="F139" s="4" t="s">
        <v>1519</v>
      </c>
      <c r="G139" s="8">
        <v>4</v>
      </c>
    </row>
    <row r="140" spans="1:7">
      <c r="A140" s="4">
        <v>140</v>
      </c>
      <c r="B140" s="6" t="str">
        <f>HLOOKUP(Introduzione!$B$9,$C:$J,$A140,FALSE)</f>
      </c>
      <c r="C140" s="4" t="s">
        <v>1329</v>
      </c>
      <c r="D140" s="4" t="s">
        <v>1520</v>
      </c>
      <c r="E140" s="4" t="s">
        <v>1521</v>
      </c>
      <c r="F140" s="4" t="s">
        <v>1522</v>
      </c>
      <c r="G140" s="8">
        <v>5</v>
      </c>
    </row>
    <row r="141" spans="1:7">
      <c r="A141" s="4">
        <v>141</v>
      </c>
    </row>
    <row r="142" spans="1:7">
      <c r="A142" s="4">
        <v>142</v>
      </c>
      <c r="B142" s="5" t="s">
        <v>1352</v>
      </c>
      <c r="G142" s="5" t="s">
        <v>1352</v>
      </c>
    </row>
    <row r="143" spans="1:7">
      <c r="A143" s="4">
        <v>143</v>
      </c>
      <c r="B143" s="7" t="str">
        <f>HLOOKUP(Introduzione!$B$9,$C:$J,$A143,FALSE)</f>
      </c>
      <c r="C143" s="4" t="s">
        <v>9</v>
      </c>
      <c r="D143" s="4" t="s">
        <v>432</v>
      </c>
      <c r="E143" s="4" t="s">
        <v>1397</v>
      </c>
      <c r="F143" s="4" t="s">
        <v>1398</v>
      </c>
      <c r="G143" s="7">
        <v>1</v>
      </c>
    </row>
    <row r="144" spans="1:7">
      <c r="A144" s="4">
        <v>144</v>
      </c>
      <c r="B144" s="7" t="str">
        <f>HLOOKUP(Introduzione!$B$9,$C:$J,$A144,FALSE)</f>
      </c>
      <c r="C144" s="4" t="s">
        <v>11</v>
      </c>
      <c r="D144" s="4" t="s">
        <v>435</v>
      </c>
      <c r="E144" s="4" t="s">
        <v>1401</v>
      </c>
      <c r="F144" s="4" t="s">
        <v>1402</v>
      </c>
      <c r="G144" s="7">
        <v>2</v>
      </c>
    </row>
    <row r="145" spans="1:8">
      <c r="A145" s="4">
        <v>145</v>
      </c>
      <c r="B145" s="7" t="str">
        <f>HLOOKUP(Introduzione!$B$9,$C:$J,$A145,FALSE)</f>
      </c>
      <c r="C145" s="4" t="s">
        <v>12</v>
      </c>
      <c r="D145" s="4" t="s">
        <v>438</v>
      </c>
      <c r="E145" s="4" t="s">
        <v>1405</v>
      </c>
      <c r="F145" s="4" t="s">
        <v>1406</v>
      </c>
      <c r="G145" s="7">
        <v>3</v>
      </c>
    </row>
    <row r="146" spans="1:8">
      <c r="A146" s="4">
        <v>146</v>
      </c>
      <c r="B146" s="7" t="str">
        <f>HLOOKUP(Introduzione!$B$9,$C:$J,$A146,FALSE)</f>
      </c>
      <c r="C146" s="4" t="s">
        <v>13</v>
      </c>
      <c r="D146" s="4" t="s">
        <v>441</v>
      </c>
      <c r="E146" s="4" t="s">
        <v>442</v>
      </c>
      <c r="F146" s="4" t="s">
        <v>443</v>
      </c>
      <c r="G146" s="7">
        <v>4</v>
      </c>
    </row>
    <row r="147" spans="1:8">
      <c r="A147" s="4">
        <v>147</v>
      </c>
      <c r="B147" s="7" t="str">
        <f>HLOOKUP(Introduzione!$B$9,$C:$J,$A147,FALSE)</f>
      </c>
      <c r="C147" s="4" t="s">
        <v>14</v>
      </c>
      <c r="D147" s="4" t="s">
        <v>444</v>
      </c>
      <c r="E147" s="4" t="s">
        <v>445</v>
      </c>
      <c r="F147" s="4" t="s">
        <v>446</v>
      </c>
      <c r="G147" s="7">
        <v>5</v>
      </c>
    </row>
    <row r="148" spans="1:8">
      <c r="A148" s="4">
        <v>148</v>
      </c>
      <c r="B148" s="7" t="str">
        <f>HLOOKUP(Introduzione!$B$9,$C:$J,$A148,FALSE)</f>
      </c>
      <c r="C148" s="4" t="s">
        <v>15</v>
      </c>
      <c r="D148" s="4" t="s">
        <v>447</v>
      </c>
      <c r="E148" s="4" t="s">
        <v>448</v>
      </c>
      <c r="F148" s="4" t="s">
        <v>449</v>
      </c>
      <c r="G148" s="7">
        <v>6</v>
      </c>
    </row>
    <row r="149" spans="1:8">
      <c r="A149" s="4">
        <v>149</v>
      </c>
      <c r="B149" s="7" t="str">
        <f>HLOOKUP(Introduzione!$B$9,$C:$J,$A149,FALSE)</f>
      </c>
      <c r="C149" s="4" t="s">
        <v>16</v>
      </c>
      <c r="D149" s="4" t="s">
        <v>450</v>
      </c>
      <c r="E149" s="4" t="s">
        <v>451</v>
      </c>
      <c r="F149" s="4" t="s">
        <v>452</v>
      </c>
      <c r="G149" s="7">
        <v>7</v>
      </c>
    </row>
    <row r="150" spans="1:8">
      <c r="A150" s="4">
        <v>150</v>
      </c>
      <c r="B150" s="7" t="str">
        <f>HLOOKUP(Introduzione!$B$9,$C:$J,$A150,FALSE)</f>
      </c>
      <c r="C150" s="4" t="s">
        <v>17</v>
      </c>
      <c r="D150" s="4" t="s">
        <v>453</v>
      </c>
      <c r="E150" s="4" t="s">
        <v>454</v>
      </c>
      <c r="F150" s="4" t="s">
        <v>455</v>
      </c>
      <c r="G150" s="7">
        <v>8</v>
      </c>
    </row>
    <row r="151" spans="1:8">
      <c r="A151" s="4">
        <v>151</v>
      </c>
      <c r="B151" s="7" t="str">
        <f>HLOOKUP(Introduzione!$B$9,$C:$J,$A151,FALSE)</f>
      </c>
      <c r="C151" s="4" t="s">
        <v>18</v>
      </c>
      <c r="D151" s="4" t="s">
        <v>456</v>
      </c>
      <c r="E151" s="4" t="s">
        <v>457</v>
      </c>
      <c r="F151" s="4" t="s">
        <v>458</v>
      </c>
      <c r="G151" s="7">
        <v>9</v>
      </c>
    </row>
    <row r="152" spans="1:8">
      <c r="A152" s="4">
        <v>152</v>
      </c>
    </row>
    <row r="153" spans="1:8">
      <c r="A153" s="4">
        <v>153</v>
      </c>
      <c r="B153" s="7" t="str">
        <f>HLOOKUP(Introduzione!$B$9,$C:$J,$A153,FALSE)</f>
      </c>
      <c r="C153" s="4" t="s">
        <v>813</v>
      </c>
      <c r="D153" s="4" t="s">
        <v>1523</v>
      </c>
      <c r="E153" s="4" t="s">
        <v>1524</v>
      </c>
      <c r="F153" s="4" t="s">
        <v>1525</v>
      </c>
      <c r="G153" s="64">
        <f>IF('Le mie risposte'!$F$144="",0,VLOOKUP('Le mie risposte'!$F$144,dropdowns!$B$142:$G$152,6,FALSE))</f>
      </c>
    </row>
    <row r="154" spans="1:8">
      <c r="A154" s="4">
        <v>154</v>
      </c>
      <c r="B154" s="7" t="str">
        <f>HLOOKUP(Introduzione!$B$9,$C:$J,$A154,FALSE)</f>
      </c>
      <c r="C154" s="4" t="s">
        <v>817</v>
      </c>
      <c r="D154" s="4" t="s">
        <v>1526</v>
      </c>
      <c r="E154" s="4" t="s">
        <v>1527</v>
      </c>
      <c r="F154" s="4" t="s">
        <v>1528</v>
      </c>
      <c r="G154" s="64">
        <f>IF('Le mie risposte'!$F$148="",0,VLOOKUP('Le mie risposte'!$F$148,dropdowns!$B$142:$G$152,6,FALSE))</f>
      </c>
    </row>
    <row r="155" spans="1:8">
      <c r="A155" s="4">
        <v>155</v>
      </c>
      <c r="B155" s="7" t="str">
        <f>HLOOKUP(Introduzione!$B$9,$C:$J,$A155,FALSE)</f>
      </c>
      <c r="C155" s="4" t="s">
        <v>1363</v>
      </c>
      <c r="D155" s="4" t="s">
        <v>1529</v>
      </c>
      <c r="E155" s="4" t="s">
        <v>1530</v>
      </c>
      <c r="F155" s="4" t="s">
        <v>1531</v>
      </c>
      <c r="G155" s="64">
        <f>IF('Le mie risposte'!$F$129="",0,VLOOKUP('Le mie risposte'!$F$129,dropdowns!$B$142:$G$152,6,FALSE))</f>
      </c>
    </row>
    <row r="156" spans="1:8">
      <c r="A156" s="4">
        <v>156</v>
      </c>
      <c r="B156" s="7" t="str">
        <f>HLOOKUP(Introduzione!$B$9,$C:$J,$A156,FALSE)</f>
      </c>
      <c r="C156" s="4" t="s">
        <v>1370</v>
      </c>
      <c r="D156" s="4" t="s">
        <v>1532</v>
      </c>
      <c r="E156" s="4" t="s">
        <v>1533</v>
      </c>
      <c r="F156" s="4" t="s">
        <v>1534</v>
      </c>
      <c r="G156" s="64">
        <f>IF('Le mie risposte'!$F$137="",0,VLOOKUP('Le mie risposte'!$F$137,dropdowns!$B$142:$G$152,6,FALSE))</f>
      </c>
    </row>
    <row r="157" spans="1:8">
      <c r="A157" s="4">
        <v>157</v>
      </c>
      <c r="B157" s="7" t="str">
        <f>HLOOKUP(Introduzione!$B$9,$C:$J,$A157,FALSE)</f>
      </c>
      <c r="C157" s="4" t="s">
        <v>1376</v>
      </c>
      <c r="D157" s="4" t="s">
        <v>1535</v>
      </c>
      <c r="E157" s="4" t="s">
        <v>758</v>
      </c>
      <c r="F157" s="4" t="s">
        <v>1536</v>
      </c>
      <c r="G157" s="64">
        <f>IF('Le mie risposte'!$D$24="",0,VLOOKUP('Le mie risposte'!$D$24,dropdowns!$B$112:$G$120,6,FALSE))</f>
      </c>
      <c r="H157" s="64">
        <f>IF('Le mie risposte'!$F$24="",0,VLOOKUP('Le mie risposte'!$F$24,dropdowns!$B$112:$G$120,6,FALSE))</f>
      </c>
    </row>
    <row r="158" spans="1:8">
      <c r="A158" s="4">
        <v>158</v>
      </c>
    </row>
    <row r="159" spans="1:8">
      <c r="A159" s="4">
        <v>159</v>
      </c>
      <c r="B159" s="4" t="str">
        <f>HLOOKUP(Introduzione!$B$9,$C:$J,$A159,FALSE)</f>
      </c>
      <c r="C159" s="4" t="s">
        <v>1537</v>
      </c>
      <c r="D159" s="4" t="s">
        <v>1538</v>
      </c>
      <c r="E159" s="4" t="s">
        <v>1539</v>
      </c>
      <c r="F159" s="4" t="s">
        <v>1540</v>
      </c>
      <c r="G159" s="4">
        <v>1</v>
      </c>
    </row>
    <row r="160" spans="1:8">
      <c r="A160" s="4">
        <v>160</v>
      </c>
      <c r="B160" s="4" t="str">
        <f>HLOOKUP(Introduzione!$B$9,$C:$J,$A160,FALSE)</f>
      </c>
      <c r="C160" s="4" t="s">
        <v>1541</v>
      </c>
      <c r="D160" s="4" t="s">
        <v>1542</v>
      </c>
      <c r="E160" s="4" t="s">
        <v>1543</v>
      </c>
      <c r="F160" s="4" t="s">
        <v>1544</v>
      </c>
      <c r="G160" s="4">
        <v>2</v>
      </c>
    </row>
    <row r="161" spans="1:7">
      <c r="A161" s="4">
        <v>161</v>
      </c>
      <c r="B161" s="4" t="str">
        <f>HLOOKUP(Introduzione!$B$9,$C:$J,$A161,FALSE)</f>
      </c>
      <c r="C161" s="4" t="s">
        <v>1545</v>
      </c>
      <c r="D161" s="4" t="s">
        <v>1546</v>
      </c>
      <c r="E161" s="4" t="s">
        <v>1547</v>
      </c>
      <c r="F161" s="4" t="s">
        <v>1548</v>
      </c>
      <c r="G161" s="4">
        <v>3</v>
      </c>
    </row>
    <row r="162" spans="1:7">
      <c r="A162" s="4">
        <v>162</v>
      </c>
      <c r="B162" s="4" t="str">
        <f>HLOOKUP(Introduzione!$B$9,$C:$J,$A162,FALSE)</f>
      </c>
      <c r="C162" s="4" t="s">
        <v>1549</v>
      </c>
      <c r="D162" s="4" t="s">
        <v>1550</v>
      </c>
      <c r="E162" s="4" t="s">
        <v>1551</v>
      </c>
      <c r="F162" s="4" t="s">
        <v>1552</v>
      </c>
      <c r="G162" s="4">
        <v>4</v>
      </c>
    </row>
    <row r="163" spans="1:7">
      <c r="A163" s="4">
        <v>163</v>
      </c>
      <c r="B163" s="4" t="str">
        <f>HLOOKUP(Introduzione!$B$9,$C:$J,$A163,FALSE)</f>
      </c>
      <c r="C163" s="4" t="s">
        <v>1553</v>
      </c>
      <c r="D163" s="4" t="s">
        <v>1554</v>
      </c>
      <c r="E163" s="4" t="s">
        <v>1555</v>
      </c>
      <c r="F163" s="4" t="s">
        <v>1556</v>
      </c>
      <c r="G163" s="4">
        <v>5</v>
      </c>
    </row>
    <row r="164" spans="1:7">
      <c r="A164" s="4">
        <v>164</v>
      </c>
      <c r="B164" s="4" t="str">
        <f>HLOOKUP(Introduzione!$B$9,$C:$J,$A164,FALSE)</f>
      </c>
      <c r="C164" s="4" t="s">
        <v>1557</v>
      </c>
      <c r="D164" s="4" t="s">
        <v>1558</v>
      </c>
      <c r="E164" s="4" t="s">
        <v>1559</v>
      </c>
      <c r="F164" s="4" t="s">
        <v>1560</v>
      </c>
      <c r="G164" s="4">
        <v>6</v>
      </c>
    </row>
    <row r="165" spans="1:7">
      <c r="A165" s="4">
        <v>165</v>
      </c>
      <c r="B165" s="4" t="str">
        <f>HLOOKUP(Introduzione!$B$9,$C:$J,$A165,FALSE)</f>
      </c>
      <c r="C165" s="4" t="s">
        <v>1561</v>
      </c>
      <c r="D165" s="4" t="s">
        <v>1562</v>
      </c>
      <c r="E165" s="4" t="s">
        <v>1563</v>
      </c>
      <c r="F165" s="4" t="s">
        <v>1564</v>
      </c>
      <c r="G165" s="4">
        <v>7</v>
      </c>
    </row>
    <row r="166" spans="1:7">
      <c r="A166" s="4">
        <v>166</v>
      </c>
      <c r="B166" s="4" t="str">
        <f>HLOOKUP(Introduzione!$B$9,$C:$J,$A166,FALSE)</f>
      </c>
      <c r="C166" s="4" t="s">
        <v>1565</v>
      </c>
      <c r="D166" s="4" t="s">
        <v>1566</v>
      </c>
      <c r="E166" s="4" t="s">
        <v>1567</v>
      </c>
      <c r="F166" s="4" t="s">
        <v>1568</v>
      </c>
      <c r="G166" s="4">
        <v>8</v>
      </c>
    </row>
    <row r="167" spans="1:7">
      <c r="A167" s="4">
        <v>167</v>
      </c>
      <c r="B167" s="4" t="str">
        <f>HLOOKUP(Introduzione!$B$9,$C:$J,$A167,FALSE)</f>
      </c>
      <c r="C167" s="4" t="s">
        <v>1569</v>
      </c>
      <c r="D167" s="4" t="s">
        <v>1570</v>
      </c>
      <c r="E167" s="4" t="s">
        <v>1571</v>
      </c>
      <c r="F167" s="4" t="s">
        <v>1572</v>
      </c>
      <c r="G167" s="4">
        <v>9</v>
      </c>
    </row>
    <row r="168" spans="1:7">
      <c r="A168" s="4">
        <v>168</v>
      </c>
      <c r="B168" s="4" t="str">
        <f>HLOOKUP(Introduzione!$B$9,$C:$J,$A168,FALSE)</f>
      </c>
      <c r="C168" s="4" t="s">
        <v>1573</v>
      </c>
      <c r="D168" s="4" t="s">
        <v>1574</v>
      </c>
      <c r="E168" s="4" t="s">
        <v>1575</v>
      </c>
      <c r="F168" s="4" t="s">
        <v>1576</v>
      </c>
      <c r="G168" s="4">
        <v>10</v>
      </c>
    </row>
    <row r="169" spans="1:7">
      <c r="A169" s="4">
        <v>169</v>
      </c>
    </row>
    <row r="170" spans="1:7">
      <c r="A170" s="4">
        <v>170</v>
      </c>
      <c r="B170" s="4" t="e">
        <f>HLOOKUP(Introduzione!$B$9,$C:$J,$A170,FALSE)</f>
      </c>
      <c r="C170" s="4" t="s">
        <v>1577</v>
      </c>
      <c r="D170" s="4" t="s">
        <v>1577</v>
      </c>
      <c r="E170" s="4" t="s">
        <v>1577</v>
      </c>
      <c r="F170" s="4" t="e">
        <v>#N/A</v>
      </c>
    </row>
    <row r="171" spans="1:7">
      <c r="A171" s="4">
        <v>171</v>
      </c>
      <c r="B171" s="4" t="e">
        <f>HLOOKUP(Introduzione!$B$9,$C:$J,$A171,FALSE)</f>
      </c>
      <c r="C171" s="4" t="s">
        <v>1578</v>
      </c>
      <c r="D171" s="4" t="s">
        <v>1578</v>
      </c>
      <c r="E171" s="4" t="s">
        <v>1578</v>
      </c>
      <c r="F171" s="4" t="e">
        <v>#N/A</v>
      </c>
    </row>
    <row r="172" spans="1:7">
      <c r="A172" s="4">
        <v>172</v>
      </c>
    </row>
    <row r="173" spans="1:7">
      <c r="A173" s="4">
        <v>173</v>
      </c>
      <c r="B173" s="5" t="s">
        <v>1012</v>
      </c>
    </row>
    <row r="174" spans="1:7">
      <c r="A174" s="4">
        <v>174</v>
      </c>
      <c r="B174" s="7" t="str">
        <f>HLOOKUP(Introduzione!$B$9,$C:$J,$A174,FALSE)</f>
      </c>
      <c r="C174" s="7" t="s">
        <v>1579</v>
      </c>
      <c r="D174" s="7" t="s">
        <v>1579</v>
      </c>
      <c r="E174" s="7" t="s">
        <v>1580</v>
      </c>
      <c r="F174" s="4" t="s">
        <v>1581</v>
      </c>
    </row>
    <row r="175" spans="1:7">
      <c r="A175" s="4">
        <v>175</v>
      </c>
      <c r="B175" s="7" t="str">
        <f>HLOOKUP(Introduzione!$B$9,$C:$J,$A175,FALSE)</f>
      </c>
      <c r="C175" s="7" t="s">
        <v>1582</v>
      </c>
      <c r="D175" s="7" t="s">
        <v>1582</v>
      </c>
      <c r="E175" s="7" t="s">
        <v>1583</v>
      </c>
      <c r="F175" s="4" t="s">
        <v>1584</v>
      </c>
    </row>
    <row r="176" spans="1:7">
      <c r="A176" s="4">
        <v>176</v>
      </c>
      <c r="B176" s="7" t="str">
        <f>HLOOKUP(Introduzione!$B$9,$C:$J,$A176,FALSE)</f>
      </c>
      <c r="C176" s="7" t="s">
        <v>1585</v>
      </c>
      <c r="D176" s="7" t="s">
        <v>1585</v>
      </c>
      <c r="E176" s="7" t="s">
        <v>1586</v>
      </c>
      <c r="F176" s="4" t="s">
        <v>1587</v>
      </c>
    </row>
    <row r="177" spans="1:6">
      <c r="A177" s="4">
        <v>177</v>
      </c>
      <c r="E177" s="7"/>
    </row>
    <row r="178" spans="1:6">
      <c r="A178" s="4">
        <v>178</v>
      </c>
    </row>
    <row r="179" spans="1:6">
      <c r="A179" s="4">
        <v>179</v>
      </c>
      <c r="B179" s="5" t="s">
        <v>1588</v>
      </c>
    </row>
    <row r="180" spans="1:6">
      <c r="A180" s="4">
        <v>180</v>
      </c>
      <c r="B180" s="7" t="str">
        <f>HLOOKUP(Introduzione!$B$9,$C:$J,$A180,FALSE)</f>
      </c>
      <c r="C180" s="7" t="s">
        <v>1589</v>
      </c>
      <c r="D180" s="7" t="s">
        <v>1590</v>
      </c>
      <c r="E180" s="7" t="s">
        <v>1591</v>
      </c>
      <c r="F180" s="4" t="s">
        <v>1591</v>
      </c>
    </row>
    <row r="181" spans="1:6">
      <c r="A181" s="4">
        <v>181</v>
      </c>
      <c r="B181" s="7" t="str">
        <f>HLOOKUP(Introduzione!$B$9,$C:$J,$A181,FALSE)</f>
      </c>
      <c r="C181" s="7" t="s">
        <v>1592</v>
      </c>
      <c r="D181" s="7" t="s">
        <v>1593</v>
      </c>
      <c r="E181" s="7" t="s">
        <v>1594</v>
      </c>
      <c r="F181" s="4" t="s">
        <v>1595</v>
      </c>
    </row>
    <row r="182" spans="1:6">
      <c r="A182" s="4">
        <v>182</v>
      </c>
    </row>
    <row r="183" spans="1:6">
      <c r="A183" s="4">
        <v>183</v>
      </c>
    </row>
    <row r="184" spans="1:6">
      <c r="A184" s="4">
        <v>184</v>
      </c>
      <c r="B184" s="5" t="s">
        <v>930</v>
      </c>
    </row>
    <row r="185" spans="1:6">
      <c r="A185" s="4">
        <v>185</v>
      </c>
      <c r="B185" s="7" t="str">
        <f>HLOOKUP(Introduzione!$B$9,$C:$J,$A185,FALSE)</f>
      </c>
      <c r="C185" s="7" t="s">
        <v>1596</v>
      </c>
      <c r="D185" s="7" t="s">
        <v>1597</v>
      </c>
      <c r="E185" s="7" t="s">
        <v>1598</v>
      </c>
      <c r="F185" s="4" t="s">
        <v>26</v>
      </c>
    </row>
    <row r="186" spans="1:6">
      <c r="A186" s="4">
        <v>186</v>
      </c>
      <c r="B186" s="7" t="str">
        <f>HLOOKUP(Introduzione!$B$9,$C:$J,$A186,FALSE)</f>
      </c>
      <c r="C186" s="7" t="s">
        <v>1599</v>
      </c>
      <c r="D186" s="7" t="s">
        <v>1600</v>
      </c>
      <c r="E186" s="7" t="s">
        <v>1601</v>
      </c>
      <c r="F186" s="4" t="s">
        <v>1602</v>
      </c>
    </row>
  </sheetData>
  <sheetProtection algorithmName="SHA-512" hashValue="e5BP05p8e/UWEDck3Oo0TpYchplukpVrG99XlhvenoiZxuEPP5PHqWKvyMFN1JnGfJLplMpV9Sh3hdvEl/lzjg==" saltValue="oz5Ma3XwL6WEtP/NrvAimQ==" spinCount="100000" sheet="1" objects="1" scenarios="1"/>
  <dataValidations count="1">
    <dataValidation type="list" allowBlank="1" showInputMessage="1" showErrorMessage="1" sqref="B174:B176" xr:uid="{BE3EC21B-A19C-4D09-A168-9A529866B5BF}">
      <formula1>Rechtsvorm</formula1>
    </dataValidation>
  </dataValidations>
  <pageMargins left="0.7" right="0.7" top="0.75" bottom="0.75" header="0.51180555555555551" footer="0.51180555555555551"/>
  <pageSetup paperSize="9"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9"/>
  <dimension ref="A1:U58"/>
  <sheetViews>
    <sheetView workbookViewId="0">
      <selection activeCell="F316" sqref="F316"/>
    </sheetView>
  </sheetViews>
  <sheetFormatPr defaultColWidth="9.140625" defaultRowHeight="12.75"/>
  <cols>
    <col min="1" max="1" width="20.85546875" style="11" customWidth="1"/>
    <col min="2" max="3" width="15.42578125" style="11" bestFit="1" customWidth="1"/>
    <col min="4" max="5" width="12" style="11" customWidth="1"/>
    <col min="6" max="6" width="9.140625" style="11"/>
    <col min="7" max="7" width="19.42578125" style="11" bestFit="1" customWidth="1"/>
    <col min="8" max="8" width="20.28515625" style="11" bestFit="1" customWidth="1"/>
    <col min="9" max="9" width="9.140625" style="11"/>
    <col min="10" max="10" width="19.5703125" style="11" customWidth="1"/>
    <col min="11" max="11" width="15.42578125" style="11" bestFit="1" customWidth="1"/>
    <col min="12" max="12" width="12.140625" style="11" customWidth="1"/>
    <col min="13" max="13" width="7.85546875" style="11" customWidth="1"/>
    <col min="14" max="14" width="11" style="11" customWidth="1"/>
    <col min="15" max="15" width="10.28515625" style="11" customWidth="1"/>
    <col min="16" max="16" width="19.42578125" style="11" bestFit="1" customWidth="1"/>
    <col min="17" max="17" width="15.42578125" style="11" bestFit="1" customWidth="1"/>
    <col min="18" max="16384" width="9.140625" style="11"/>
  </cols>
  <sheetData>
    <row r="1" spans="1:20" ht="24" thickTop="1">
      <c r="A1" s="41" t="s">
        <v>1603</v>
      </c>
      <c r="B1" s="42"/>
      <c r="C1" s="42"/>
      <c r="D1" s="42"/>
      <c r="E1" s="42"/>
      <c r="F1" s="42"/>
      <c r="G1" s="49" t="s">
        <v>1604</v>
      </c>
      <c r="H1" s="50" t="str">
        <f>B3</f>
      </c>
      <c r="K1" s="35" t="str">
        <f>'Le mie risposte'!$F$13</f>
      </c>
      <c r="L1" s="43"/>
      <c r="M1" s="43"/>
      <c r="N1" s="43"/>
      <c r="Q1" s="35" t="str">
        <f>'Le mie risposte'!$D$13</f>
      </c>
    </row>
    <row r="2" spans="1:20" ht="13.5" thickBot="1">
      <c r="A2" s="43" t="s">
        <v>1605</v>
      </c>
      <c r="B2" s="44">
        <v>42783</v>
      </c>
      <c r="C2" s="42"/>
      <c r="D2" s="42"/>
      <c r="E2" s="42"/>
      <c r="F2" s="42"/>
      <c r="G2" s="51" t="s">
        <v>848</v>
      </c>
      <c r="H2" s="52">
        <f>'Previsione di gestione'!C34</f>
      </c>
      <c r="J2" s="51" t="s">
        <v>1606</v>
      </c>
      <c r="K2" s="52">
        <f>IF('Le mie risposte'!$D$7="B.V.",0,IF($K$1="Ondernemer:",H2,H2*'Le mie risposte'!$F$14))</f>
      </c>
      <c r="L2" s="53"/>
      <c r="M2" s="53"/>
      <c r="N2" s="53"/>
      <c r="P2" s="51" t="s">
        <v>848</v>
      </c>
      <c r="Q2" s="52">
        <f>IF('Le mie risposte'!$D$7="B.V.",0,IF($Q$1="",0,H2*'Le mie risposte'!$D$14))</f>
      </c>
    </row>
    <row r="3" spans="1:20" ht="15.75" thickTop="1">
      <c r="A3" s="34" t="s">
        <v>772</v>
      </c>
      <c r="B3" s="35" t="str">
        <f>'Le mie risposte'!$F$13</f>
      </c>
      <c r="C3" s="35" t="str">
        <f>'Le mie risposte'!$D$13</f>
      </c>
      <c r="D3" s="42"/>
      <c r="E3" s="42"/>
      <c r="G3" s="51" t="s">
        <v>1607</v>
      </c>
      <c r="H3" s="52">
        <f>IF('Previsione di investimento'!E6&gt;450,'Previsione di investimento'!E6)+IF('Previsione di investimento'!E7&gt;450,'Previsione di investimento'!E7)+IF('Previsione di investimento'!E9&gt;450,'Previsione di investimento'!E9)</f>
      </c>
      <c r="J3" s="51" t="s">
        <v>1607</v>
      </c>
      <c r="K3" s="52">
        <f>IF('Le mie risposte'!$D$7="B.V.",0,IF($K$1="Ondernemer:",H3,H3*'Le mie risposte'!$F$14))</f>
      </c>
      <c r="M3" s="53"/>
      <c r="N3" s="53"/>
      <c r="P3" s="51" t="s">
        <v>1607</v>
      </c>
      <c r="Q3" s="52">
        <f>IF('Le mie risposte'!$D$7="B.V.",0,IF($Q$1="",0,H3*'Le mie risposte'!$D$14))</f>
      </c>
    </row>
    <row r="4" spans="1:20" ht="15">
      <c r="A4" s="45" t="s">
        <v>859</v>
      </c>
      <c r="B4" s="46">
        <f>IF(K2-K4&lt;0,0,(K2-K4))</f>
      </c>
      <c r="C4" s="46">
        <f>IF(Q2-Q4&lt;0,0,(Q2-Q4))</f>
      </c>
      <c r="D4" s="42"/>
      <c r="E4" s="42"/>
      <c r="F4" s="17"/>
      <c r="G4" s="53" t="s">
        <v>1608</v>
      </c>
      <c r="J4" s="51" t="s">
        <v>855</v>
      </c>
      <c r="K4" s="52">
        <f>IB!J6+IB!J11+IB!J16+IB!J25+IB!J36+IB!J41</f>
      </c>
      <c r="L4" s="43"/>
      <c r="M4" s="53"/>
      <c r="N4" s="53"/>
      <c r="P4" s="51" t="s">
        <v>855</v>
      </c>
      <c r="Q4" s="52">
        <f>IB!P6+IB!P11+IB!P16+IB!P25+IB!P36+IB!P41</f>
      </c>
    </row>
    <row r="5" spans="1:20" ht="15">
      <c r="A5" s="65" t="s">
        <v>863</v>
      </c>
      <c r="B5" s="67">
        <f>SUM(B18:F18)</f>
      </c>
      <c r="C5" s="67">
        <f>SUM(B23:F23)</f>
      </c>
      <c r="D5" s="42"/>
      <c r="E5" s="42"/>
      <c r="F5" s="17"/>
      <c r="G5" s="17"/>
      <c r="J5" s="43"/>
      <c r="K5" s="54"/>
      <c r="L5" s="53"/>
      <c r="M5" s="53"/>
      <c r="N5" s="53"/>
    </row>
    <row r="6" spans="1:20" ht="15">
      <c r="A6" s="66" t="s">
        <v>1609</v>
      </c>
      <c r="B6" s="26">
        <f>IF(J44+J51&lt;0,0,J44+J51)</f>
      </c>
      <c r="C6" s="26">
        <f>IF(P44+P51&lt;0,0,P44+P51)</f>
      </c>
      <c r="D6" s="42"/>
      <c r="E6" s="42"/>
      <c r="F6" s="17"/>
      <c r="J6" s="55">
        <f>IF(K$2&lt;=0,0,IF('Le mie risposte'!$F$331=dropdowns!$B$2,M9,0))</f>
      </c>
      <c r="K6" s="451" t="s">
        <v>1610</v>
      </c>
      <c r="L6" s="451"/>
      <c r="M6" s="451"/>
      <c r="N6" s="53"/>
      <c r="P6" s="55">
        <f>IF(Q$2&lt;=0,0,IF('Le mie risposte'!$D$331=dropdowns!$B$2,S9,0))</f>
      </c>
      <c r="Q6" s="451" t="str">
        <f>K6</f>
      </c>
      <c r="R6" s="451"/>
      <c r="S6" s="451"/>
      <c r="T6" s="53"/>
    </row>
    <row r="7" spans="1:20" ht="15.75" thickBot="1">
      <c r="A7" s="47" t="s">
        <v>1611</v>
      </c>
      <c r="B7" s="68">
        <f>IF(B5-B6&lt;0,0,B5-B6)</f>
      </c>
      <c r="C7" s="68">
        <f>IF(C5-C6&lt;0,0,C5-C6)</f>
      </c>
      <c r="D7" s="42"/>
      <c r="E7" s="42"/>
      <c r="F7" s="17"/>
      <c r="K7" s="450" t="s">
        <v>848</v>
      </c>
      <c r="L7" s="450"/>
      <c r="M7" s="57" t="s">
        <v>1612</v>
      </c>
      <c r="N7" s="53"/>
      <c r="Q7" s="450" t="s">
        <v>848</v>
      </c>
      <c r="R7" s="450"/>
      <c r="S7" s="57" t="s">
        <v>1612</v>
      </c>
      <c r="T7" s="53"/>
    </row>
    <row r="8" spans="1:20" ht="16.5" thickTop="1" thickBot="1">
      <c r="A8" s="17"/>
      <c r="B8" s="69" t="e">
        <f>B7/K2</f>
      </c>
      <c r="C8" s="69" t="e">
        <f>C7/Q2</f>
      </c>
      <c r="D8" s="17"/>
      <c r="E8" s="17"/>
      <c r="F8" s="17"/>
      <c r="J8" s="56"/>
      <c r="K8" s="357" t="s">
        <v>1613</v>
      </c>
      <c r="L8" s="357" t="s">
        <v>1614</v>
      </c>
      <c r="M8" s="357"/>
      <c r="N8" s="53"/>
      <c r="P8" s="56"/>
      <c r="Q8" s="357" t="s">
        <v>1613</v>
      </c>
      <c r="R8" s="357" t="s">
        <v>1614</v>
      </c>
      <c r="S8" s="357"/>
      <c r="T8" s="53"/>
    </row>
    <row r="9" spans="1:20" ht="15.75" thickTop="1">
      <c r="A9" s="34" t="s">
        <v>1615</v>
      </c>
      <c r="B9" s="35"/>
      <c r="C9" s="35"/>
      <c r="D9" s="35"/>
      <c r="E9" s="417"/>
      <c r="F9" s="36"/>
      <c r="J9" s="56"/>
      <c r="K9" s="58">
        <v>0</v>
      </c>
      <c r="L9" s="58"/>
      <c r="M9" s="58">
        <v>7280</v>
      </c>
      <c r="N9" s="59"/>
      <c r="P9" s="56"/>
      <c r="Q9" s="58">
        <f>K9</f>
      </c>
      <c r="R9" s="58"/>
      <c r="S9" s="58">
        <f>M9</f>
      </c>
      <c r="T9" s="59"/>
    </row>
    <row r="10" spans="1:20" ht="15">
      <c r="A10" s="22" t="s">
        <v>1616</v>
      </c>
      <c r="B10" s="37">
        <v>0.23</v>
      </c>
      <c r="C10" s="38">
        <v>0.27</v>
      </c>
      <c r="D10" s="37">
        <v>0.38</v>
      </c>
      <c r="E10" s="37">
        <v>0.41</v>
      </c>
      <c r="F10" s="39">
        <v>0.43</v>
      </c>
      <c r="J10" s="56"/>
      <c r="K10" s="53"/>
      <c r="L10" s="53"/>
      <c r="M10" s="53"/>
      <c r="N10" s="53"/>
      <c r="P10" s="56"/>
      <c r="Q10" s="53"/>
      <c r="R10" s="53"/>
      <c r="S10" s="53"/>
      <c r="T10" s="53"/>
    </row>
    <row r="11" spans="1:20" ht="15.75" thickBot="1">
      <c r="A11" s="40" t="s">
        <v>1617</v>
      </c>
      <c r="B11" s="32">
        <v>15000</v>
      </c>
      <c r="C11" s="32">
        <v>28000</v>
      </c>
      <c r="D11" s="32">
        <v>55000</v>
      </c>
      <c r="E11" s="32">
        <v>75000</v>
      </c>
      <c r="F11" s="33"/>
      <c r="J11" s="55">
        <f>IF(K$2&lt;=0,0,IF('Le mie risposte'!$F$333=dropdowns!$B$2,M14,0))</f>
      </c>
      <c r="K11" s="451" t="s">
        <v>1618</v>
      </c>
      <c r="L11" s="451"/>
      <c r="M11" s="451"/>
      <c r="N11" s="53"/>
      <c r="P11" s="55">
        <f>IF(Q$2&lt;=0,0,IF('Le mie risposte'!$D$333=dropdowns!$B$2,S14,0))</f>
      </c>
      <c r="Q11" s="451" t="str">
        <f>K11</f>
      </c>
      <c r="R11" s="451"/>
      <c r="S11" s="451"/>
      <c r="T11" s="53"/>
    </row>
    <row r="12" spans="1:20" ht="15.75" thickTop="1">
      <c r="A12" s="17"/>
      <c r="B12" s="17"/>
      <c r="C12" s="17"/>
      <c r="D12" s="17"/>
      <c r="E12" s="17"/>
      <c r="F12" s="17"/>
      <c r="J12" s="56"/>
      <c r="K12" s="450" t="s">
        <v>848</v>
      </c>
      <c r="L12" s="450"/>
      <c r="M12" s="57" t="s">
        <v>1612</v>
      </c>
      <c r="N12" s="53"/>
      <c r="P12" s="56"/>
      <c r="Q12" s="450" t="s">
        <v>848</v>
      </c>
      <c r="R12" s="450"/>
      <c r="S12" s="57" t="s">
        <v>1612</v>
      </c>
      <c r="T12" s="53"/>
    </row>
    <row r="13" spans="1:20" ht="15.75" thickBot="1">
      <c r="A13" s="48"/>
      <c r="B13" s="17"/>
      <c r="C13" s="17"/>
      <c r="D13" s="17"/>
      <c r="E13" s="17"/>
      <c r="F13" s="17"/>
      <c r="J13" s="56"/>
      <c r="K13" s="357" t="s">
        <v>1613</v>
      </c>
      <c r="L13" s="357" t="s">
        <v>1614</v>
      </c>
      <c r="M13" s="357"/>
      <c r="N13" s="53"/>
      <c r="P13" s="56"/>
      <c r="Q13" s="357" t="s">
        <v>1613</v>
      </c>
      <c r="R13" s="357" t="s">
        <v>1614</v>
      </c>
      <c r="S13" s="357"/>
      <c r="T13" s="53"/>
    </row>
    <row r="14" spans="1:20" ht="15.75" thickTop="1">
      <c r="A14" s="18" t="str">
        <f>B3</f>
      </c>
      <c r="B14" s="19"/>
      <c r="C14" s="20"/>
      <c r="D14" s="20"/>
      <c r="E14" s="20"/>
      <c r="F14" s="21"/>
      <c r="J14" s="56"/>
      <c r="K14" s="58">
        <v>0</v>
      </c>
      <c r="L14" s="58"/>
      <c r="M14" s="58">
        <v>2123</v>
      </c>
      <c r="N14" s="53"/>
      <c r="P14" s="56"/>
      <c r="Q14" s="58">
        <f>K14</f>
      </c>
      <c r="R14" s="58"/>
      <c r="S14" s="58">
        <f>M14</f>
      </c>
      <c r="T14" s="53"/>
    </row>
    <row r="15" spans="1:20" ht="15">
      <c r="A15" s="22" t="s">
        <v>1616</v>
      </c>
      <c r="B15" s="23">
        <f>B$10</f>
      </c>
      <c r="C15" s="24">
        <f>C$10</f>
      </c>
      <c r="D15" s="23">
        <f>D$10</f>
      </c>
      <c r="E15" s="23">
        <f>E$10</f>
      </c>
      <c r="F15" s="25">
        <f>F$10</f>
      </c>
      <c r="J15" s="56"/>
      <c r="K15" s="53"/>
      <c r="L15" s="53"/>
      <c r="M15" s="53"/>
      <c r="N15" s="53"/>
      <c r="P15" s="56"/>
      <c r="Q15" s="53"/>
      <c r="R15" s="53"/>
      <c r="S15" s="53"/>
      <c r="T15" s="53"/>
    </row>
    <row r="16" spans="1:20" ht="15">
      <c r="A16" s="22" t="s">
        <v>1617</v>
      </c>
      <c r="B16" s="26">
        <f>B$11</f>
      </c>
      <c r="C16" s="26">
        <f>C$11</f>
      </c>
      <c r="D16" s="26">
        <f>D$11</f>
      </c>
      <c r="E16" s="26">
        <f>E$11</f>
      </c>
      <c r="F16" s="27"/>
      <c r="J16" s="55">
        <f>IF(K$2&lt;=0,0,IF('Le mie risposte'!$F$335=dropdowns!$B$3,0,SUM(N19:N23)))</f>
      </c>
      <c r="K16" s="451" t="s">
        <v>1619</v>
      </c>
      <c r="L16" s="451"/>
      <c r="M16" s="451"/>
      <c r="N16" s="53"/>
      <c r="P16" s="55">
        <f>IF(Q$2&lt;=0,0,IF('Le mie risposte'!$D$335=dropdowns!$B$3,0,SUM(T19:T23)))</f>
      </c>
      <c r="Q16" s="451" t="str">
        <f>K16</f>
      </c>
      <c r="R16" s="451"/>
      <c r="S16" s="451"/>
      <c r="T16" s="53"/>
    </row>
    <row r="17" spans="1:20" ht="15">
      <c r="A17" s="28" t="s">
        <v>859</v>
      </c>
      <c r="B17" s="29">
        <f>IF($B4&lt;B16,$B4,B16)</f>
      </c>
      <c r="C17" s="29">
        <f>IF($B4-B17&gt;C16,C16,$B4-B17)</f>
      </c>
      <c r="D17" s="29">
        <f>IF($B4-(B17+C17)&gt;D16,D16,$B4-(B17+C17))</f>
      </c>
      <c r="E17" s="29">
        <f>IF($B4-(B17+C17+D17)&gt;E16,E16,$B4-(B17+C17+D17))</f>
      </c>
      <c r="F17" s="30">
        <f>IF(D17&lt;D16,0,$B4-SUM(B17:D17))</f>
      </c>
      <c r="J17" s="56"/>
      <c r="K17" s="450" t="s">
        <v>1620</v>
      </c>
      <c r="L17" s="450"/>
      <c r="M17" s="57" t="s">
        <v>1612</v>
      </c>
      <c r="N17" s="53"/>
      <c r="P17" s="56"/>
      <c r="Q17" s="450" t="s">
        <v>1620</v>
      </c>
      <c r="R17" s="450"/>
      <c r="S17" s="57" t="s">
        <v>1612</v>
      </c>
      <c r="T17" s="53"/>
    </row>
    <row r="18" spans="1:20" ht="15.75" thickBot="1">
      <c r="A18" s="31" t="s">
        <v>1611</v>
      </c>
      <c r="B18" s="32">
        <f>B15*B17</f>
      </c>
      <c r="C18" s="32">
        <f>C15*C17</f>
      </c>
      <c r="D18" s="32">
        <f>D15*D17</f>
      </c>
      <c r="E18" s="32">
        <f>E15*E17</f>
      </c>
      <c r="F18" s="33">
        <f>F15*F17</f>
      </c>
      <c r="J18" s="56"/>
      <c r="K18" s="357" t="s">
        <v>1613</v>
      </c>
      <c r="L18" s="357" t="s">
        <v>1614</v>
      </c>
      <c r="M18" s="357"/>
      <c r="N18" s="53"/>
      <c r="P18" s="56"/>
      <c r="Q18" s="357" t="s">
        <v>1613</v>
      </c>
      <c r="R18" s="357" t="s">
        <v>1614</v>
      </c>
      <c r="S18" s="357"/>
      <c r="T18" s="53"/>
    </row>
    <row r="19" spans="1:20" ht="15.75" thickTop="1">
      <c r="A19" s="18" t="str">
        <f>C3</f>
      </c>
      <c r="B19" s="19"/>
      <c r="C19" s="20"/>
      <c r="D19" s="20"/>
      <c r="E19" s="20"/>
      <c r="F19" s="21"/>
      <c r="J19" s="56"/>
      <c r="K19" s="60">
        <v>0</v>
      </c>
      <c r="L19" s="60">
        <v>525</v>
      </c>
      <c r="M19" s="61">
        <v>0</v>
      </c>
      <c r="N19" s="59">
        <f>IF('Le mie risposte'!$F$335=dropdowns!$B135,IB!K$2*IB!M19,0)</f>
      </c>
      <c r="P19" s="56"/>
      <c r="Q19" s="60">
        <f t="shared" ref="Q19:S22" si="0">K19</f>
      </c>
      <c r="R19" s="60">
        <f t="shared" si="0"/>
      </c>
      <c r="S19" s="61">
        <f t="shared" si="0"/>
      </c>
      <c r="T19" s="59">
        <f>IF('Le mie risposte'!$D$335=dropdowns!$B135,IB!Q$2*IB!S19,0)</f>
      </c>
    </row>
    <row r="20" spans="1:20" ht="15">
      <c r="A20" s="22" t="s">
        <v>1616</v>
      </c>
      <c r="B20" s="23">
        <f>B$10</f>
      </c>
      <c r="C20" s="24">
        <f>C$10</f>
      </c>
      <c r="D20" s="23">
        <f>D$10</f>
      </c>
      <c r="E20" s="23">
        <f>E$10</f>
      </c>
      <c r="F20" s="25">
        <f>F$10</f>
      </c>
      <c r="J20" s="56"/>
      <c r="K20" s="60">
        <f>L19</f>
      </c>
      <c r="L20" s="60">
        <v>875</v>
      </c>
      <c r="M20" s="61">
        <v>1.2500000000000001E-2</v>
      </c>
      <c r="N20" s="59">
        <f>IF('Le mie risposte'!$F$335=dropdowns!$B136,IB!K$2*IB!M20,0)</f>
      </c>
      <c r="P20" s="56"/>
      <c r="Q20" s="60">
        <f t="shared" si="0"/>
      </c>
      <c r="R20" s="60">
        <f t="shared" si="0"/>
      </c>
      <c r="S20" s="61">
        <f t="shared" si="0"/>
      </c>
      <c r="T20" s="59">
        <f>IF('Le mie risposte'!$D$335=dropdowns!$B136,IB!Q$2*IB!S20,0)</f>
      </c>
    </row>
    <row r="21" spans="1:20" ht="15">
      <c r="A21" s="22" t="s">
        <v>1617</v>
      </c>
      <c r="B21" s="26">
        <f>B$11</f>
      </c>
      <c r="C21" s="26">
        <f>C$11</f>
      </c>
      <c r="D21" s="26">
        <f>D$11</f>
      </c>
      <c r="E21" s="26">
        <f>E$11</f>
      </c>
      <c r="F21" s="27"/>
      <c r="J21" s="56"/>
      <c r="K21" s="60">
        <f>L20</f>
      </c>
      <c r="L21" s="60">
        <v>1225</v>
      </c>
      <c r="M21" s="61">
        <v>0.02</v>
      </c>
      <c r="N21" s="59">
        <f>IF('Le mie risposte'!$F$335=dropdowns!$B137,IB!K$2*IB!M21,0)</f>
      </c>
      <c r="P21" s="56"/>
      <c r="Q21" s="60">
        <f t="shared" si="0"/>
      </c>
      <c r="R21" s="60">
        <f t="shared" si="0"/>
      </c>
      <c r="S21" s="61">
        <f t="shared" si="0"/>
      </c>
      <c r="T21" s="59">
        <f>IF('Le mie risposte'!$D$335=dropdowns!$B137,IB!Q$2*IB!S21,0)</f>
      </c>
    </row>
    <row r="22" spans="1:20" ht="15">
      <c r="A22" s="28" t="s">
        <v>859</v>
      </c>
      <c r="B22" s="29">
        <f>IF($C4&lt;B16,$C4,B16)</f>
      </c>
      <c r="C22" s="29">
        <f>IF($C4-B22&gt;C16,C16,$C4-B22)</f>
      </c>
      <c r="D22" s="29">
        <f>IF($C4-(B22+C22)&gt;D16,D16,$C4-(B22+C22))</f>
      </c>
      <c r="E22" s="29">
        <f>IF($C4-(B22+C22+D22)&gt;E16,E16,$C4-(B22+C22+D22))</f>
      </c>
      <c r="F22" s="30">
        <f>IF(D22&lt;D16,0,$C4-SUM(B22:D22))</f>
      </c>
      <c r="J22" s="56"/>
      <c r="K22" s="60">
        <f>L21</f>
      </c>
      <c r="L22" s="60">
        <v>1750</v>
      </c>
      <c r="M22" s="61">
        <v>0.03</v>
      </c>
      <c r="N22" s="59">
        <f>IF('Le mie risposte'!$F$335=dropdowns!$B138,IB!K$2*IB!M22,0)</f>
      </c>
      <c r="P22" s="56"/>
      <c r="Q22" s="60">
        <f t="shared" si="0"/>
      </c>
      <c r="R22" s="60">
        <f t="shared" si="0"/>
      </c>
      <c r="S22" s="61">
        <f t="shared" si="0"/>
      </c>
      <c r="T22" s="59">
        <f>IF('Le mie risposte'!$D$335=dropdowns!$B138,IB!Q$2*IB!S22,0)</f>
      </c>
    </row>
    <row r="23" spans="1:20" ht="15.75" thickBot="1">
      <c r="A23" s="31" t="s">
        <v>1611</v>
      </c>
      <c r="B23" s="32">
        <f>B20*B22</f>
      </c>
      <c r="C23" s="32">
        <f>C20*C22</f>
      </c>
      <c r="D23" s="32">
        <f>D20*D22</f>
      </c>
      <c r="E23" s="32">
        <f>E20*E22</f>
      </c>
      <c r="F23" s="33">
        <f>F20*F22</f>
      </c>
      <c r="J23" s="56"/>
      <c r="K23" s="60">
        <f>L22</f>
      </c>
      <c r="L23" s="60"/>
      <c r="M23" s="61">
        <v>0.04</v>
      </c>
      <c r="N23" s="59">
        <f>IF('Le mie risposte'!$F$335=dropdowns!$B139,IB!K$2*IB!M23,0)</f>
      </c>
      <c r="P23" s="56"/>
      <c r="Q23" s="60">
        <f>K23</f>
      </c>
      <c r="R23" s="60"/>
      <c r="S23" s="61">
        <f>M23</f>
      </c>
      <c r="T23" s="59">
        <f>IF('Le mie risposte'!$D$335=dropdowns!$B139,IB!Q$2*IB!S23,0)</f>
      </c>
    </row>
    <row r="24" spans="1:20" ht="13.5" thickTop="1">
      <c r="J24" s="56"/>
      <c r="K24" s="53"/>
      <c r="L24" s="53"/>
      <c r="M24" s="53"/>
      <c r="N24" s="53"/>
      <c r="P24" s="56"/>
      <c r="Q24" s="53"/>
      <c r="R24" s="53"/>
      <c r="S24" s="53"/>
      <c r="T24" s="53"/>
    </row>
    <row r="25" spans="1:20">
      <c r="J25" s="55">
        <f>IF(K$3&lt;=0,0,IF('Le mie risposte'!$F$339=dropdowns!$B$2,SUM(N28:N32),0))</f>
      </c>
      <c r="K25" s="451" t="s">
        <v>1621</v>
      </c>
      <c r="L25" s="451"/>
      <c r="M25" s="451"/>
      <c r="N25" s="53"/>
      <c r="P25" s="55">
        <f>IF(Q$3&lt;=0,0,IF('Le mie risposte'!$D$339=dropdowns!$B$2,SUM(T28:T32),0))</f>
      </c>
      <c r="Q25" s="451" t="str">
        <f>K25</f>
      </c>
      <c r="R25" s="451"/>
      <c r="S25" s="451"/>
      <c r="T25" s="53"/>
    </row>
    <row r="26" spans="1:20">
      <c r="J26" s="56"/>
      <c r="K26" s="450" t="s">
        <v>1622</v>
      </c>
      <c r="L26" s="450"/>
      <c r="M26" s="57" t="s">
        <v>1612</v>
      </c>
      <c r="N26" s="53"/>
      <c r="P26" s="56"/>
      <c r="Q26" s="450" t="s">
        <v>1622</v>
      </c>
      <c r="R26" s="450"/>
      <c r="S26" s="57" t="s">
        <v>1612</v>
      </c>
      <c r="T26" s="53"/>
    </row>
    <row r="27" spans="1:20">
      <c r="J27" s="56"/>
      <c r="K27" s="357" t="s">
        <v>1613</v>
      </c>
      <c r="L27" s="357" t="s">
        <v>1614</v>
      </c>
      <c r="M27" s="357"/>
      <c r="N27" s="53"/>
      <c r="P27" s="56"/>
      <c r="Q27" s="357" t="s">
        <v>1613</v>
      </c>
      <c r="R27" s="357" t="s">
        <v>1614</v>
      </c>
      <c r="S27" s="357"/>
      <c r="T27" s="53"/>
    </row>
    <row r="28" spans="1:20">
      <c r="J28" s="56"/>
      <c r="K28" s="62">
        <v>0</v>
      </c>
      <c r="L28" s="62">
        <v>2300</v>
      </c>
      <c r="M28" s="61">
        <v>0</v>
      </c>
      <c r="N28" s="59">
        <f>IF(AND(K$3&gt;=K28,K$3&lt;L28),M28*K$3,0)</f>
      </c>
      <c r="P28" s="56"/>
      <c r="Q28" s="62">
        <f t="shared" ref="Q28:S31" si="1">K28</f>
      </c>
      <c r="R28" s="62">
        <f t="shared" si="1"/>
      </c>
      <c r="S28" s="61">
        <f t="shared" si="1"/>
      </c>
      <c r="T28" s="59">
        <f>IF(AND(Q$3&gt;=Q28,Q$3&lt;R28),S28*Q$3,0)</f>
      </c>
    </row>
    <row r="29" spans="1:20">
      <c r="J29" s="56"/>
      <c r="K29" s="58">
        <f>L28</f>
      </c>
      <c r="L29" s="58">
        <v>56192</v>
      </c>
      <c r="M29" s="61">
        <v>0.28000000000000003</v>
      </c>
      <c r="N29" s="59">
        <f>IF(AND(K$3&gt;=K29,K$3&lt;L29),M29*K$3,0)</f>
      </c>
      <c r="P29" s="56"/>
      <c r="Q29" s="58">
        <f t="shared" si="1"/>
      </c>
      <c r="R29" s="58">
        <f t="shared" si="1"/>
      </c>
      <c r="S29" s="61">
        <f t="shared" si="1"/>
      </c>
      <c r="T29" s="59">
        <f>IF(AND(Q$3&gt;=Q29,Q$3&lt;R29),S29*Q$3,0)</f>
      </c>
    </row>
    <row r="30" spans="1:20">
      <c r="J30" s="56"/>
      <c r="K30" s="58">
        <f>L29</f>
      </c>
      <c r="L30" s="58">
        <v>104059</v>
      </c>
      <c r="M30" s="58">
        <v>15734</v>
      </c>
      <c r="N30" s="59">
        <f>IF(AND(K$3&gt;=K30,K$3&lt;L30),M30,0)</f>
      </c>
      <c r="P30" s="56"/>
      <c r="Q30" s="58">
        <f t="shared" si="1"/>
      </c>
      <c r="R30" s="58">
        <f t="shared" si="1"/>
      </c>
      <c r="S30" s="58">
        <f t="shared" si="1"/>
      </c>
      <c r="T30" s="59">
        <f>IF(AND(Q$3&gt;=Q30,Q$3&lt;R30),S30,0)</f>
      </c>
    </row>
    <row r="31" spans="1:20">
      <c r="J31" s="56"/>
      <c r="K31" s="58">
        <f>L30</f>
      </c>
      <c r="L31" s="58">
        <v>312716</v>
      </c>
      <c r="M31" s="61">
        <v>7.5600000000000001E-2</v>
      </c>
      <c r="N31" s="59">
        <f>IF(AND(K$3&gt;=K31,K$3&lt;L31),M30-((K$3-100000)*M31),0)</f>
      </c>
      <c r="P31" s="56"/>
      <c r="Q31" s="58">
        <f t="shared" si="1"/>
      </c>
      <c r="R31" s="58">
        <f t="shared" si="1"/>
      </c>
      <c r="S31" s="61">
        <f t="shared" si="1"/>
      </c>
      <c r="T31" s="59">
        <f>IF(AND(Q$3&gt;=Q31,Q$3&lt;R31),S30-((Q$3-100000)*S31),0)</f>
      </c>
    </row>
    <row r="32" spans="1:20">
      <c r="J32" s="56"/>
      <c r="K32" s="58">
        <f>L31</f>
      </c>
      <c r="L32" s="58"/>
      <c r="M32" s="61">
        <v>0</v>
      </c>
      <c r="N32" s="59">
        <f>IF(K$3&gt;=K32,K$3*M32,0)</f>
      </c>
      <c r="P32" s="56"/>
      <c r="Q32" s="58">
        <f>K32</f>
      </c>
      <c r="R32" s="58"/>
      <c r="S32" s="61">
        <f>M32</f>
      </c>
      <c r="T32" s="59">
        <f>IF(Q$3&gt;=Q32,Q$3*S32,0)</f>
      </c>
    </row>
    <row r="33" spans="10:21">
      <c r="J33" s="56"/>
      <c r="K33" s="53"/>
      <c r="L33" s="53"/>
      <c r="M33" s="53"/>
      <c r="N33" s="53"/>
      <c r="P33" s="56"/>
      <c r="Q33" s="53"/>
      <c r="R33" s="53"/>
      <c r="S33" s="53"/>
      <c r="T33" s="53"/>
    </row>
    <row r="34" spans="10:21">
      <c r="J34" s="56"/>
      <c r="K34" s="451" t="s">
        <v>1623</v>
      </c>
      <c r="L34" s="451"/>
      <c r="M34" s="451"/>
      <c r="N34" s="53"/>
      <c r="P34" s="56"/>
      <c r="Q34" s="451" t="str">
        <f>K34</f>
      </c>
      <c r="R34" s="451"/>
      <c r="S34" s="451"/>
      <c r="T34" s="53"/>
    </row>
    <row r="35" spans="10:21">
      <c r="J35" s="56"/>
      <c r="K35" s="450" t="s">
        <v>1624</v>
      </c>
      <c r="L35" s="450"/>
      <c r="M35" s="57" t="s">
        <v>1612</v>
      </c>
      <c r="N35" s="53"/>
      <c r="P35" s="56"/>
      <c r="Q35" s="450" t="s">
        <v>1624</v>
      </c>
      <c r="R35" s="450"/>
      <c r="S35" s="57" t="s">
        <v>1612</v>
      </c>
      <c r="T35" s="53"/>
    </row>
    <row r="36" spans="10:21">
      <c r="J36" s="55">
        <f>IF('Le mie risposte'!$F$337=dropdowns!$B$2,IF(K$2-J$6-J$11-J$16&lt;0,0,(K$2-J$6-J$11-J$16)*M$37),0)</f>
      </c>
      <c r="K36" s="357" t="s">
        <v>1613</v>
      </c>
      <c r="L36" s="357" t="s">
        <v>1614</v>
      </c>
      <c r="M36" s="357"/>
      <c r="N36" s="53"/>
      <c r="P36" s="55">
        <f>IF('Le mie risposte'!$D$337=dropdowns!$B$2,IF(Q$2-P$6-P$11-P$16&lt;0,0,(Q$2-P$6-P$11-P$16)*S$37),0)</f>
      </c>
      <c r="Q36" s="357" t="s">
        <v>1613</v>
      </c>
      <c r="R36" s="357" t="s">
        <v>1614</v>
      </c>
      <c r="S36" s="357"/>
      <c r="T36" s="53"/>
    </row>
    <row r="37" spans="10:21">
      <c r="J37" s="50"/>
      <c r="K37" s="58">
        <v>0</v>
      </c>
      <c r="L37" s="58"/>
      <c r="M37" s="61">
        <v>0.14000000000000001</v>
      </c>
      <c r="N37" s="63"/>
      <c r="P37" s="50"/>
      <c r="Q37" s="58">
        <f>K37</f>
      </c>
      <c r="R37" s="58"/>
      <c r="S37" s="61">
        <f>M37</f>
      </c>
      <c r="T37" s="63"/>
    </row>
    <row r="38" spans="10:21">
      <c r="J38" s="50"/>
      <c r="K38" s="43"/>
      <c r="L38" s="43"/>
      <c r="M38" s="43"/>
      <c r="N38" s="43"/>
      <c r="P38" s="50"/>
      <c r="Q38" s="43"/>
      <c r="R38" s="43"/>
      <c r="S38" s="43"/>
      <c r="T38" s="43"/>
    </row>
    <row r="39" spans="10:21">
      <c r="J39" s="56"/>
      <c r="K39" s="451" t="s">
        <v>1625</v>
      </c>
      <c r="L39" s="451"/>
      <c r="M39" s="451"/>
      <c r="N39" s="53"/>
      <c r="P39" s="56"/>
      <c r="Q39" s="451" t="str">
        <f>K39</f>
      </c>
      <c r="R39" s="451"/>
      <c r="S39" s="451"/>
      <c r="T39" s="53"/>
    </row>
    <row r="40" spans="10:21">
      <c r="J40" s="56"/>
      <c r="K40" s="450" t="s">
        <v>1624</v>
      </c>
      <c r="L40" s="450"/>
      <c r="M40" s="57" t="s">
        <v>1612</v>
      </c>
      <c r="N40" s="53"/>
      <c r="P40" s="56"/>
      <c r="Q40" s="450" t="s">
        <v>1624</v>
      </c>
      <c r="R40" s="450"/>
      <c r="S40" s="57" t="s">
        <v>1612</v>
      </c>
      <c r="T40" s="53"/>
    </row>
    <row r="41" spans="10:21">
      <c r="J41" s="55">
        <f>IF('Le mie risposte'!$F$341=dropdowns!$B$2,N42,0)</f>
      </c>
      <c r="K41" s="357" t="s">
        <v>1613</v>
      </c>
      <c r="L41" s="357" t="s">
        <v>1614</v>
      </c>
      <c r="M41" s="357"/>
      <c r="N41" s="53"/>
      <c r="P41" s="55">
        <f>IF('Le mie risposte'!$D$341=dropdowns!$B$2,T42,0)</f>
      </c>
      <c r="Q41" s="357" t="s">
        <v>1613</v>
      </c>
      <c r="R41" s="357" t="s">
        <v>1614</v>
      </c>
      <c r="S41" s="357"/>
      <c r="T41" s="53"/>
    </row>
    <row r="42" spans="10:21">
      <c r="J42" s="50"/>
      <c r="K42" s="58">
        <v>0</v>
      </c>
      <c r="L42" s="58">
        <v>8946</v>
      </c>
      <c r="M42" s="61">
        <v>9.4399999999999998E-2</v>
      </c>
      <c r="N42" s="63">
        <f>IF(K$2&lt;=0,0,IF(K$2*M42&gt;L42,L42,K$2*M42))</f>
      </c>
      <c r="P42" s="50"/>
      <c r="Q42" s="58">
        <f>K42</f>
      </c>
      <c r="R42" s="58">
        <f>L42</f>
      </c>
      <c r="S42" s="61">
        <f>M42</f>
      </c>
      <c r="T42" s="63">
        <f>IF(Q$2&lt;=0,0,IF(Q$2*S42&gt;R42,R42,Q$2*S42))</f>
      </c>
    </row>
    <row r="43" spans="10:21">
      <c r="K43" s="42"/>
      <c r="L43" s="42"/>
      <c r="M43" s="42"/>
      <c r="Q43" s="42"/>
      <c r="R43" s="42"/>
      <c r="S43" s="42"/>
    </row>
    <row r="44" spans="10:21">
      <c r="J44" s="55">
        <f>IF('Le mie risposte'!$F$343=dropdowns!$B$2,SUM(M47:M49),0)</f>
      </c>
      <c r="K44" s="451" t="s">
        <v>1626</v>
      </c>
      <c r="L44" s="451"/>
      <c r="M44" s="451"/>
      <c r="P44" s="55">
        <f>IF('Le mie risposte'!$D$343=dropdowns!$B$2,SUM(S47:S49),0)</f>
      </c>
      <c r="Q44" s="451" t="str">
        <f>K44</f>
      </c>
      <c r="R44" s="451"/>
      <c r="S44" s="451"/>
    </row>
    <row r="45" spans="10:21">
      <c r="K45" s="450" t="s">
        <v>859</v>
      </c>
      <c r="L45" s="450"/>
      <c r="M45" s="57" t="s">
        <v>1627</v>
      </c>
      <c r="Q45" s="450" t="s">
        <v>859</v>
      </c>
      <c r="R45" s="450"/>
      <c r="S45" s="57" t="s">
        <v>1627</v>
      </c>
    </row>
    <row r="46" spans="10:21">
      <c r="K46" s="357" t="s">
        <v>1613</v>
      </c>
      <c r="L46" s="357" t="s">
        <v>1614</v>
      </c>
      <c r="M46" s="357"/>
      <c r="Q46" s="357" t="s">
        <v>1613</v>
      </c>
      <c r="R46" s="357" t="s">
        <v>1614</v>
      </c>
      <c r="S46" s="357"/>
    </row>
    <row r="47" spans="10:21">
      <c r="K47" s="62">
        <v>0</v>
      </c>
      <c r="L47" s="62">
        <v>19982</v>
      </c>
      <c r="M47" s="58">
        <f>IF(AND($B$4&gt;K47,$B$4&lt;L47),N47,0)</f>
      </c>
      <c r="N47" s="59">
        <v>2254</v>
      </c>
      <c r="O47" s="42"/>
      <c r="Q47" s="62">
        <f>K47</f>
      </c>
      <c r="R47" s="62">
        <f>L47</f>
      </c>
      <c r="S47" s="58">
        <f>IF(AND($C$4&gt;Q47,$C$4&lt;R47),T47,0)</f>
      </c>
      <c r="T47" s="59">
        <f t="shared" ref="T47:U49" si="2">N47</f>
      </c>
      <c r="U47" s="42">
        <f t="shared" si="2"/>
      </c>
    </row>
    <row r="48" spans="10:21">
      <c r="K48" s="58">
        <f>L47</f>
      </c>
      <c r="L48" s="58">
        <v>67068</v>
      </c>
      <c r="M48" s="58">
        <f>IF(AND($B$4&gt;=K48,$B$4&lt;L48),N48-O48*($B$4-K48),0)</f>
      </c>
      <c r="N48" s="59">
        <v>2254</v>
      </c>
      <c r="O48" s="42">
        <v>4.7870000000000003E-2</v>
      </c>
      <c r="Q48" s="58">
        <f>K48</f>
      </c>
      <c r="R48" s="58">
        <f>L48</f>
      </c>
      <c r="S48" s="58">
        <f>IF(AND($C$4&gt;=Q48,$C$4&lt;R48),T48-U48*($C$4-Q48),0)</f>
      </c>
      <c r="T48" s="59">
        <f t="shared" si="2"/>
      </c>
      <c r="U48" s="42">
        <f t="shared" si="2"/>
      </c>
    </row>
    <row r="49" spans="10:21">
      <c r="K49" s="58">
        <f>L48</f>
      </c>
      <c r="L49" s="58"/>
      <c r="M49" s="58">
        <f>IF($B$4&gt;=K49,N49,0)</f>
      </c>
      <c r="N49" s="59">
        <v>0</v>
      </c>
      <c r="O49" s="42"/>
      <c r="Q49" s="58">
        <f>K49</f>
      </c>
      <c r="R49" s="58"/>
      <c r="S49" s="58">
        <f>IF($C$4&gt;=Q49,T49,0)</f>
      </c>
      <c r="T49" s="59">
        <f t="shared" si="2"/>
      </c>
      <c r="U49" s="42">
        <f t="shared" si="2"/>
      </c>
    </row>
    <row r="50" spans="10:21">
      <c r="K50" s="42"/>
      <c r="L50" s="42"/>
      <c r="M50" s="42"/>
      <c r="Q50" s="42"/>
      <c r="R50" s="42"/>
      <c r="S50" s="42"/>
    </row>
    <row r="51" spans="10:21">
      <c r="J51" s="55">
        <f>IF('Le mie risposte'!$F$345=dropdowns!$B$2,SUM(M54:M58),0)</f>
      </c>
      <c r="K51" s="451" t="s">
        <v>1628</v>
      </c>
      <c r="L51" s="451"/>
      <c r="M51" s="451"/>
      <c r="P51" s="55">
        <f>IF('Le mie risposte'!$D$345=dropdowns!$B$2,SUM(S54:S58),0)</f>
      </c>
      <c r="Q51" s="451" t="str">
        <f>K51</f>
      </c>
      <c r="R51" s="451"/>
      <c r="S51" s="451"/>
    </row>
    <row r="52" spans="10:21">
      <c r="K52" s="450" t="s">
        <v>859</v>
      </c>
      <c r="L52" s="450"/>
      <c r="M52" s="57" t="s">
        <v>1627</v>
      </c>
      <c r="Q52" s="450" t="s">
        <v>859</v>
      </c>
      <c r="R52" s="450"/>
      <c r="S52" s="57" t="s">
        <v>1627</v>
      </c>
    </row>
    <row r="53" spans="10:21">
      <c r="K53" s="357" t="s">
        <v>1613</v>
      </c>
      <c r="L53" s="357" t="s">
        <v>1614</v>
      </c>
      <c r="M53" s="357"/>
      <c r="Q53" s="357" t="s">
        <v>1613</v>
      </c>
      <c r="R53" s="357" t="s">
        <v>1614</v>
      </c>
      <c r="S53" s="357"/>
    </row>
    <row r="54" spans="10:21">
      <c r="K54" s="62">
        <v>0</v>
      </c>
      <c r="L54" s="62">
        <v>9309</v>
      </c>
      <c r="M54" s="58">
        <f>IF(AND(K2&gt;K54,K2&lt;L54),O54*K2,0)</f>
      </c>
      <c r="N54" s="59"/>
      <c r="O54" s="42">
        <v>1.772E-2</v>
      </c>
      <c r="Q54" s="62">
        <f t="shared" ref="Q54:R57" si="3">K54</f>
      </c>
      <c r="R54" s="62">
        <f t="shared" si="3"/>
      </c>
      <c r="S54" s="58">
        <f>IF(AND(Q2&gt;Q54,Q2&lt;R54),U54*Q2,0)</f>
      </c>
      <c r="T54" s="59">
        <f t="shared" ref="T54:U58" si="4">N54</f>
      </c>
      <c r="U54" s="42">
        <f t="shared" si="4"/>
      </c>
    </row>
    <row r="55" spans="10:21">
      <c r="K55" s="58">
        <f>L54</f>
      </c>
      <c r="L55" s="58">
        <v>20108</v>
      </c>
      <c r="M55" s="58">
        <f>IF(AND(K2&gt;=K55,K2&lt;L55),N55+O55*(K2-K55),0)</f>
      </c>
      <c r="N55" s="59">
        <v>165</v>
      </c>
      <c r="O55" s="42">
        <v>0.28316999999999998</v>
      </c>
      <c r="Q55" s="58">
        <f t="shared" si="3"/>
      </c>
      <c r="R55" s="58">
        <f t="shared" si="3"/>
      </c>
      <c r="S55" s="58">
        <f>IF(AND(Q2&gt;=Q55,Q2&lt;R55),T55+U55*(Q2-Q55),0)</f>
      </c>
      <c r="T55" s="59">
        <f t="shared" si="4"/>
      </c>
      <c r="U55" s="42">
        <f t="shared" si="4"/>
      </c>
    </row>
    <row r="56" spans="10:21">
      <c r="K56" s="58">
        <f>L55</f>
      </c>
      <c r="L56" s="58">
        <v>32444</v>
      </c>
      <c r="M56" s="58">
        <f>IF(AND(K2&gt;=K56,K2&lt;L56),N56,0)</f>
      </c>
      <c r="N56" s="59">
        <v>3223</v>
      </c>
      <c r="O56" s="42"/>
      <c r="Q56" s="58">
        <f t="shared" si="3"/>
      </c>
      <c r="R56" s="58">
        <f t="shared" si="3"/>
      </c>
      <c r="S56" s="58">
        <f>IF(AND(Q2&gt;=Q56,Q2&lt;R56),T56,0)</f>
      </c>
      <c r="T56" s="59">
        <f t="shared" si="4"/>
      </c>
      <c r="U56" s="42">
        <f t="shared" si="4"/>
      </c>
    </row>
    <row r="57" spans="10:21">
      <c r="K57" s="58">
        <f>L56</f>
      </c>
      <c r="L57" s="58">
        <v>121972</v>
      </c>
      <c r="M57" s="58">
        <f>IF(AND(K2&gt;=K57,K2&lt;L57),N57-O57*(K2-K57),0)</f>
      </c>
      <c r="N57" s="59">
        <v>3223</v>
      </c>
      <c r="O57" s="42">
        <v>3.5999999999999997E-2</v>
      </c>
      <c r="Q57" s="58">
        <f t="shared" si="3"/>
      </c>
      <c r="R57" s="58">
        <f t="shared" si="3"/>
      </c>
      <c r="S57" s="58">
        <f>IF(AND(Q2&gt;=Q57,Q2&lt;R57),T57-U57*(Q2-Q57),0)</f>
      </c>
      <c r="T57" s="59">
        <f t="shared" si="4"/>
      </c>
      <c r="U57" s="42">
        <f t="shared" si="4"/>
      </c>
    </row>
    <row r="58" spans="10:21">
      <c r="K58" s="58">
        <f>L57</f>
      </c>
      <c r="L58" s="58"/>
      <c r="M58" s="58">
        <f>IF(K2&gt;=K58,N58,0)</f>
      </c>
      <c r="N58" s="59">
        <v>0</v>
      </c>
      <c r="O58" s="42"/>
      <c r="Q58" s="58">
        <f>K58</f>
      </c>
      <c r="R58" s="58"/>
      <c r="S58" s="58">
        <f>IF(Q2&gt;=Q58,T58,0)</f>
      </c>
      <c r="T58" s="59">
        <f t="shared" si="4"/>
      </c>
      <c r="U58" s="42">
        <f t="shared" si="4"/>
      </c>
    </row>
  </sheetData>
  <sheetProtection algorithmName="SHA-512" hashValue="9ew9tcCufUjRz7dG4y+lQ8KfaBAdkBHaeOdjDUxKoTm6tGXr2pf41/zXDx1eGfC8eDbX1mlnJ+9dBmSwr5g6Hg==" saltValue="6nKjvpPLmdvxjI5OUQgNYQ==" spinCount="100000" sheet="1" objects="1" scenarios="1"/>
  <mergeCells count="32">
    <mergeCell ref="K6:M6"/>
    <mergeCell ref="K7:L7"/>
    <mergeCell ref="K11:M11"/>
    <mergeCell ref="K12:L12"/>
    <mergeCell ref="K16:M16"/>
    <mergeCell ref="K17:L17"/>
    <mergeCell ref="K44:M44"/>
    <mergeCell ref="K45:L45"/>
    <mergeCell ref="K51:M51"/>
    <mergeCell ref="K52:L52"/>
    <mergeCell ref="K25:M25"/>
    <mergeCell ref="K26:L26"/>
    <mergeCell ref="K34:M34"/>
    <mergeCell ref="K35:L35"/>
    <mergeCell ref="K39:M39"/>
    <mergeCell ref="K40:L40"/>
    <mergeCell ref="Q6:S6"/>
    <mergeCell ref="Q7:R7"/>
    <mergeCell ref="Q11:S11"/>
    <mergeCell ref="Q12:R12"/>
    <mergeCell ref="Q16:S16"/>
    <mergeCell ref="Q17:R17"/>
    <mergeCell ref="Q25:S25"/>
    <mergeCell ref="Q26:R26"/>
    <mergeCell ref="Q34:S34"/>
    <mergeCell ref="Q35:R35"/>
    <mergeCell ref="Q52:R52"/>
    <mergeCell ref="Q39:S39"/>
    <mergeCell ref="Q40:R40"/>
    <mergeCell ref="Q44:S44"/>
    <mergeCell ref="Q45:R45"/>
    <mergeCell ref="Q51:S51"/>
  </mergeCells>
  <pageMargins left="0.7" right="0.7" top="0.75" bottom="0.75" header="0.51180555555555551" footer="0.51180555555555551"/>
  <pageSetup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tabColor rgb="FF00A197"/>
    <pageSetUpPr fitToPage="1"/>
  </sheetPr>
  <dimension ref="A1:BM414"/>
  <sheetViews>
    <sheetView workbookViewId="0">
      <pane ySplit="12" topLeftCell="A147" activePane="bottomLeft" state="frozen"/>
      <selection pane="bottomLeft" activeCell="B158" sqref="B158:D158"/>
    </sheetView>
  </sheetViews>
  <sheetFormatPr defaultColWidth="8.7109375" defaultRowHeight="14.25"/>
  <cols>
    <col min="1" max="1" width="3.7109375" style="221" customWidth="1"/>
    <col min="2" max="2" width="67.7109375" style="227" customWidth="1"/>
    <col min="3" max="3" width="14.5703125" style="271" customWidth="1"/>
    <col min="4" max="4" width="23.85546875" style="223" bestFit="1" customWidth="1"/>
    <col min="5" max="5" width="18.28515625" style="265" bestFit="1" customWidth="1"/>
    <col min="6" max="6" width="16.42578125" style="222" customWidth="1"/>
    <col min="7" max="7" width="9.5703125" style="223" customWidth="1"/>
    <col min="8" max="8" width="3.5703125" style="224" customWidth="1"/>
    <col min="9" max="9" width="9.140625" style="12" customWidth="1"/>
    <col min="10" max="10" width="10.5703125" style="12" customWidth="1"/>
    <col min="11" max="36" width="9.140625" style="12" customWidth="1"/>
    <col min="37" max="49" width="9.140625" style="218" customWidth="1"/>
    <col min="50" max="62" width="8.7109375" style="219"/>
    <col min="63" max="16384" width="8.7109375" style="220"/>
  </cols>
  <sheetData>
    <row r="1" spans="1:62" ht="63" customHeight="1">
      <c r="A1" s="323"/>
      <c r="B1" s="420" t="str">
        <f>Vertaling!B24</f>
      </c>
      <c r="C1" s="420"/>
      <c r="D1" s="420"/>
      <c r="E1" s="420"/>
      <c r="F1" s="420"/>
      <c r="G1" s="341"/>
      <c r="H1" s="217"/>
    </row>
    <row r="2" spans="1:62" ht="17.25" customHeight="1">
      <c r="A2" s="323"/>
      <c r="B2" s="422" t="str">
        <f>Vertaling!B315</f>
      </c>
      <c r="C2" s="422"/>
      <c r="D2" s="422"/>
      <c r="E2" s="354"/>
      <c r="F2" s="339" t="s">
        <v>2</v>
      </c>
      <c r="G2" s="341"/>
      <c r="H2" s="217"/>
    </row>
    <row r="3" spans="1:62" ht="17.25" customHeight="1">
      <c r="A3" s="323"/>
      <c r="B3" s="422"/>
      <c r="C3" s="422"/>
      <c r="D3" s="422"/>
      <c r="E3" s="354"/>
      <c r="F3" s="354"/>
      <c r="G3" s="341"/>
      <c r="H3" s="217"/>
    </row>
    <row r="4" spans="1:62" ht="17.25" customHeight="1">
      <c r="A4" s="323"/>
      <c r="B4" s="422"/>
      <c r="C4" s="422"/>
      <c r="D4" s="422"/>
      <c r="E4" s="354"/>
      <c r="F4" s="354"/>
      <c r="G4" s="341"/>
      <c r="H4" s="217"/>
    </row>
    <row r="5" spans="1:62" customFormat="1">
      <c r="A5" s="70"/>
      <c r="B5" s="353"/>
      <c r="C5" s="271"/>
      <c r="D5" s="1"/>
      <c r="E5" s="265"/>
      <c r="F5" s="222"/>
      <c r="G5" s="1"/>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3"/>
      <c r="AL5" s="13"/>
      <c r="AM5" s="13"/>
      <c r="AN5" s="13"/>
      <c r="AO5" s="13"/>
      <c r="AP5" s="13"/>
      <c r="AQ5" s="13"/>
      <c r="AR5" s="13"/>
      <c r="AS5" s="13"/>
      <c r="AT5" s="13"/>
      <c r="AU5" s="13"/>
      <c r="AV5" s="13"/>
      <c r="AW5" s="13"/>
      <c r="AX5" s="14"/>
      <c r="AY5" s="14"/>
      <c r="AZ5" s="14"/>
      <c r="BA5" s="14"/>
      <c r="BB5" s="14"/>
      <c r="BC5" s="14"/>
      <c r="BD5" s="14"/>
      <c r="BE5" s="14"/>
      <c r="BF5" s="14"/>
      <c r="BG5" s="14"/>
      <c r="BH5" s="14"/>
      <c r="BI5" s="14"/>
      <c r="BJ5" s="14"/>
    </row>
    <row r="6" spans="1:62" customFormat="1" ht="12.75">
      <c r="A6" s="70"/>
      <c r="B6" s="234" t="str">
        <f>Vertaling!B25</f>
      </c>
      <c r="C6" s="272"/>
      <c r="D6" s="261" t="str">
        <f>Vertaling!B28</f>
      </c>
      <c r="E6" s="265"/>
      <c r="F6" s="231"/>
      <c r="G6" s="1"/>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3"/>
      <c r="AL6" s="13"/>
      <c r="AM6" s="13"/>
      <c r="AN6" s="13"/>
      <c r="AO6" s="13"/>
      <c r="AP6" s="13"/>
      <c r="AQ6" s="13"/>
      <c r="AR6" s="13"/>
      <c r="AS6" s="13"/>
      <c r="AT6" s="13"/>
      <c r="AU6" s="13"/>
      <c r="AV6" s="13"/>
      <c r="AW6" s="13"/>
      <c r="AX6" s="14"/>
      <c r="AY6" s="14"/>
      <c r="AZ6" s="14"/>
      <c r="BA6" s="14"/>
      <c r="BB6" s="14"/>
      <c r="BC6" s="14"/>
      <c r="BD6" s="14"/>
      <c r="BE6" s="14"/>
      <c r="BF6" s="14"/>
      <c r="BG6" s="14"/>
      <c r="BH6" s="14"/>
      <c r="BI6" s="14"/>
      <c r="BJ6" s="14"/>
    </row>
    <row r="7" spans="1:62" customFormat="1" ht="12.75">
      <c r="A7" s="91" t="s">
        <v>3</v>
      </c>
      <c r="B7" s="71" t="str">
        <f>Vertaling!B26</f>
      </c>
      <c r="C7" s="263" t="str">
        <f>Vertaling!B29</f>
      </c>
      <c r="D7" s="281" t="str">
        <f>IF(DATA!C1="Impresa individuale","Impresa individuale",IF(DATA!C1="Società di Persone","Società di Persone",IF(DATA!C1="Società di Capitali","Società di Capitali","Impresa individuale")))</f>
      </c>
      <c r="E7" s="265"/>
      <c r="F7" s="1"/>
      <c r="G7" s="1"/>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3"/>
      <c r="AL7" s="13"/>
      <c r="AM7" s="13"/>
      <c r="AN7" s="13"/>
      <c r="AO7" s="13"/>
      <c r="AP7" s="13"/>
      <c r="AQ7" s="13"/>
      <c r="AR7" s="13"/>
      <c r="AS7" s="13"/>
      <c r="AT7" s="13"/>
      <c r="AU7" s="13"/>
      <c r="AV7" s="13"/>
      <c r="AW7" s="13"/>
      <c r="AX7" s="14"/>
      <c r="AY7" s="14"/>
      <c r="AZ7" s="14"/>
      <c r="BA7" s="14"/>
      <c r="BB7" s="14"/>
      <c r="BC7" s="14"/>
      <c r="BD7" s="14"/>
      <c r="BE7" s="14"/>
      <c r="BF7" s="14"/>
      <c r="BG7" s="14"/>
      <c r="BH7" s="14"/>
      <c r="BI7" s="14"/>
      <c r="BJ7" s="14"/>
    </row>
    <row r="8" spans="1:62" customFormat="1" ht="7.5" customHeight="1">
      <c r="A8" s="236"/>
      <c r="B8" s="71"/>
      <c r="C8" s="263"/>
      <c r="D8" s="235"/>
      <c r="E8" s="265"/>
      <c r="F8" s="1"/>
      <c r="G8" s="237"/>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3"/>
      <c r="AL8" s="13"/>
      <c r="AM8" s="13"/>
      <c r="AN8" s="13"/>
      <c r="AO8" s="13"/>
      <c r="AP8" s="13"/>
      <c r="AQ8" s="13"/>
      <c r="AR8" s="13"/>
      <c r="AS8" s="13"/>
      <c r="AT8" s="13"/>
      <c r="AU8" s="13"/>
      <c r="AV8" s="13"/>
      <c r="AW8" s="13"/>
      <c r="AX8" s="14"/>
      <c r="AY8" s="14"/>
      <c r="AZ8" s="14"/>
      <c r="BA8" s="14"/>
      <c r="BB8" s="14"/>
      <c r="BC8" s="14"/>
      <c r="BD8" s="14"/>
      <c r="BE8" s="14"/>
      <c r="BF8" s="14"/>
      <c r="BG8" s="14"/>
      <c r="BH8" s="14"/>
      <c r="BI8" s="14"/>
      <c r="BJ8" s="14"/>
    </row>
    <row r="9" spans="1:62" customFormat="1" ht="12.75" hidden="1">
      <c r="A9" s="91"/>
      <c r="B9" s="71" t="str">
        <f>Vertaling!B27</f>
      </c>
      <c r="C9" s="263" t="str">
        <f>Vertaling!B30</f>
      </c>
      <c r="D9" s="281" t="str">
        <f>IF(D7="Impresa individuale",dropdowns!B180,IF(D7="Società di persone",dropdowns!B181,IF(D7="Società di capitali",dropdowns!B181,"Uno")))</f>
      </c>
      <c r="E9" s="266" t="str">
        <f>IF(AND(D7=dropdowns!$B$175,D9=dropdowns!$B$180),"Due?","")</f>
      </c>
      <c r="F9" s="416"/>
      <c r="G9" s="1"/>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3"/>
      <c r="AL9" s="13"/>
      <c r="AM9" s="13"/>
      <c r="AN9" s="13"/>
      <c r="AO9" s="13"/>
      <c r="AP9" s="13"/>
      <c r="AQ9" s="13"/>
      <c r="AR9" s="13"/>
      <c r="AS9" s="13"/>
      <c r="AT9" s="13"/>
      <c r="AU9" s="13"/>
      <c r="AV9" s="13"/>
      <c r="AW9" s="13"/>
      <c r="AX9" s="14"/>
      <c r="AY9" s="14"/>
      <c r="AZ9" s="14"/>
      <c r="BA9" s="14"/>
      <c r="BB9" s="14"/>
      <c r="BC9" s="14"/>
      <c r="BD9" s="14"/>
      <c r="BE9" s="14"/>
      <c r="BF9" s="14"/>
      <c r="BG9" s="14"/>
      <c r="BH9" s="14"/>
      <c r="BI9" s="14"/>
      <c r="BJ9" s="14"/>
    </row>
    <row r="10" spans="1:62" customFormat="1" ht="7.5" customHeight="1">
      <c r="A10" s="236"/>
      <c r="B10" s="71"/>
      <c r="C10" s="263"/>
      <c r="D10" s="235"/>
      <c r="E10" s="265"/>
      <c r="F10" s="1"/>
      <c r="G10" s="237"/>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3"/>
      <c r="AL10" s="13"/>
      <c r="AM10" s="13"/>
      <c r="AN10" s="13"/>
      <c r="AO10" s="13"/>
      <c r="AP10" s="13"/>
      <c r="AQ10" s="13"/>
      <c r="AR10" s="13"/>
      <c r="AS10" s="13"/>
      <c r="AT10" s="13"/>
      <c r="AU10" s="13"/>
      <c r="AV10" s="13"/>
      <c r="AW10" s="13"/>
      <c r="AX10" s="14"/>
      <c r="AY10" s="14"/>
      <c r="AZ10" s="14"/>
      <c r="BA10" s="14"/>
      <c r="BB10" s="14"/>
      <c r="BC10" s="14"/>
      <c r="BD10" s="14"/>
      <c r="BE10" s="14"/>
      <c r="BF10" s="14"/>
      <c r="BG10" s="14"/>
      <c r="BH10" s="14"/>
      <c r="BI10" s="14"/>
      <c r="BJ10" s="14"/>
    </row>
    <row r="11" spans="1:62" customFormat="1" ht="12.75">
      <c r="A11" s="233"/>
      <c r="B11" s="232"/>
      <c r="C11" s="273"/>
      <c r="D11" s="1"/>
      <c r="E11" s="267"/>
      <c r="F11" s="225"/>
      <c r="G11" s="233"/>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3"/>
      <c r="AL11" s="13"/>
      <c r="AM11" s="13"/>
      <c r="AN11" s="13"/>
      <c r="AO11" s="13"/>
      <c r="AP11" s="13"/>
      <c r="AQ11" s="13"/>
      <c r="AR11" s="13"/>
      <c r="AS11" s="13"/>
      <c r="AT11" s="13"/>
      <c r="AU11" s="13"/>
      <c r="AV11" s="13"/>
      <c r="AW11" s="13"/>
      <c r="AX11" s="14"/>
      <c r="AY11" s="14"/>
      <c r="AZ11" s="14"/>
      <c r="BA11" s="14"/>
      <c r="BB11" s="14"/>
      <c r="BC11" s="14"/>
      <c r="BD11" s="14"/>
      <c r="BE11" s="14"/>
      <c r="BF11" s="14"/>
      <c r="BG11" s="14"/>
      <c r="BH11" s="14"/>
      <c r="BI11" s="14"/>
      <c r="BJ11" s="14"/>
    </row>
    <row r="12" spans="1:62" customFormat="1" ht="7.5" customHeight="1">
      <c r="A12" s="233"/>
      <c r="B12" s="232"/>
      <c r="C12" s="267"/>
      <c r="D12" s="225"/>
      <c r="E12" s="265"/>
      <c r="F12" s="231"/>
      <c r="G12" s="226"/>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3"/>
      <c r="AL12" s="13"/>
      <c r="AM12" s="13"/>
      <c r="AN12" s="13"/>
      <c r="AO12" s="13"/>
      <c r="AP12" s="13"/>
      <c r="AQ12" s="13"/>
      <c r="AR12" s="13"/>
      <c r="AS12" s="13"/>
      <c r="AT12" s="13"/>
      <c r="AU12" s="13"/>
      <c r="AV12" s="13"/>
      <c r="AW12" s="13"/>
      <c r="AX12" s="14"/>
      <c r="AY12" s="14"/>
      <c r="AZ12" s="14"/>
      <c r="BA12" s="14"/>
      <c r="BB12" s="14"/>
      <c r="BC12" s="14"/>
      <c r="BD12" s="14"/>
      <c r="BE12" s="14"/>
      <c r="BF12" s="14"/>
      <c r="BG12" s="14"/>
      <c r="BH12" s="14"/>
      <c r="BI12" s="14"/>
      <c r="BJ12" s="14"/>
    </row>
    <row r="13" spans="1:62" customFormat="1" ht="12.75">
      <c r="A13" s="236"/>
      <c r="B13" s="71"/>
      <c r="C13" s="268"/>
      <c r="D13" s="239" t="str">
        <f>Vertaling!B32</f>
      </c>
      <c r="E13" s="268"/>
      <c r="F13" s="239" t="str">
        <f>Vertaling!B33</f>
      </c>
      <c r="G13" s="237"/>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13"/>
      <c r="AL13" s="13"/>
      <c r="AM13" s="13"/>
      <c r="AN13" s="13"/>
      <c r="AO13" s="13"/>
      <c r="AP13" s="13"/>
      <c r="AQ13" s="13"/>
      <c r="AR13" s="13"/>
      <c r="AS13" s="13"/>
      <c r="AT13" s="13"/>
      <c r="AU13" s="13"/>
      <c r="AV13" s="13"/>
      <c r="AW13" s="13"/>
      <c r="AX13" s="14"/>
      <c r="AY13" s="14"/>
      <c r="AZ13" s="14"/>
      <c r="BA13" s="14"/>
      <c r="BB13" s="14"/>
      <c r="BC13" s="14"/>
      <c r="BD13" s="14"/>
      <c r="BE13" s="14"/>
      <c r="BF13" s="14"/>
      <c r="BG13" s="14"/>
      <c r="BH13" s="14"/>
      <c r="BI13" s="14"/>
      <c r="BJ13" s="14"/>
    </row>
    <row r="14" spans="1:62" customFormat="1" ht="22.5" customHeight="1">
      <c r="A14" s="91"/>
      <c r="B14" s="71" t="str">
        <f>Vertaling!B34</f>
      </c>
      <c r="C14" s="263" t="str">
        <f>IF($D$17="","",Vertaling!B35)</f>
      </c>
      <c r="D14" s="241">
        <f>IF(D13="",0,0.5)</f>
      </c>
      <c r="E14" s="263" t="str">
        <f>Vertaling!B36</f>
      </c>
      <c r="F14" s="242">
        <f>1-D14</f>
      </c>
      <c r="G14" s="1"/>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13"/>
      <c r="AL14" s="13"/>
      <c r="AM14" s="13"/>
      <c r="AN14" s="13"/>
      <c r="AO14" s="13"/>
      <c r="AP14" s="13"/>
      <c r="AQ14" s="13"/>
      <c r="AR14" s="13"/>
      <c r="AS14" s="13"/>
      <c r="AT14" s="13"/>
      <c r="AU14" s="13"/>
      <c r="AV14" s="13"/>
      <c r="AW14" s="13"/>
      <c r="AX14" s="14"/>
      <c r="AY14" s="14"/>
      <c r="AZ14" s="14"/>
      <c r="BA14" s="14"/>
      <c r="BB14" s="14"/>
      <c r="BC14" s="14"/>
      <c r="BD14" s="14"/>
      <c r="BE14" s="14"/>
      <c r="BF14" s="14"/>
      <c r="BG14" s="14"/>
      <c r="BH14" s="14"/>
      <c r="BI14" s="14"/>
      <c r="BJ14" s="14"/>
    </row>
    <row r="15" spans="1:62" customFormat="1" ht="7.5" customHeight="1">
      <c r="A15" s="236"/>
      <c r="B15" s="71"/>
      <c r="C15" s="263"/>
      <c r="D15" s="235"/>
      <c r="E15" s="265"/>
      <c r="F15" s="243"/>
      <c r="G15" s="237"/>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13"/>
      <c r="AL15" s="13"/>
      <c r="AM15" s="13"/>
      <c r="AN15" s="13"/>
      <c r="AO15" s="13"/>
      <c r="AP15" s="13"/>
      <c r="AQ15" s="13"/>
      <c r="AR15" s="13"/>
      <c r="AS15" s="13"/>
      <c r="AT15" s="13"/>
      <c r="AU15" s="13"/>
      <c r="AV15" s="13"/>
      <c r="AW15" s="13"/>
      <c r="AX15" s="14"/>
      <c r="AY15" s="14"/>
      <c r="AZ15" s="14"/>
      <c r="BA15" s="14"/>
      <c r="BB15" s="14"/>
      <c r="BC15" s="14"/>
      <c r="BD15" s="14"/>
      <c r="BE15" s="14"/>
      <c r="BF15" s="14"/>
      <c r="BG15" s="14"/>
      <c r="BH15" s="14"/>
      <c r="BI15" s="14"/>
      <c r="BJ15" s="14"/>
    </row>
    <row r="16" spans="1:62" customFormat="1" ht="12.75">
      <c r="A16" s="236"/>
      <c r="B16" s="71"/>
      <c r="C16" s="263"/>
      <c r="D16" s="235"/>
      <c r="E16" s="263"/>
      <c r="F16" s="235"/>
      <c r="G16" s="236"/>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13"/>
      <c r="AL16" s="13"/>
      <c r="AM16" s="13"/>
      <c r="AN16" s="13"/>
      <c r="AO16" s="13"/>
      <c r="AP16" s="13"/>
      <c r="AQ16" s="13"/>
      <c r="AR16" s="13"/>
      <c r="AS16" s="13"/>
      <c r="AT16" s="13"/>
      <c r="AU16" s="13"/>
      <c r="AV16" s="13"/>
      <c r="AW16" s="13"/>
      <c r="AX16" s="14"/>
      <c r="AY16" s="14"/>
      <c r="AZ16" s="14"/>
      <c r="BA16" s="14"/>
      <c r="BB16" s="14"/>
      <c r="BC16" s="14"/>
      <c r="BD16" s="14"/>
      <c r="BE16" s="14"/>
      <c r="BF16" s="14"/>
      <c r="BG16" s="14"/>
      <c r="BH16" s="14"/>
      <c r="BI16" s="14"/>
      <c r="BJ16" s="14"/>
    </row>
    <row r="17" spans="1:62" customFormat="1" ht="12.75">
      <c r="A17" s="70"/>
      <c r="B17" s="234" t="str">
        <f>Vertaling!B37</f>
      </c>
      <c r="C17" s="268"/>
      <c r="D17" s="261" t="str">
        <f>D13</f>
      </c>
      <c r="E17" s="268"/>
      <c r="F17" s="261" t="str">
        <f>F13</f>
      </c>
      <c r="G17" s="1"/>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13"/>
      <c r="AL17" s="13"/>
      <c r="AM17" s="13"/>
      <c r="AN17" s="13"/>
      <c r="AO17" s="13"/>
      <c r="AP17" s="13"/>
      <c r="AQ17" s="13"/>
      <c r="AR17" s="13"/>
      <c r="AS17" s="13"/>
      <c r="AT17" s="13"/>
      <c r="AU17" s="13"/>
      <c r="AV17" s="13"/>
      <c r="AW17" s="13"/>
      <c r="AX17" s="14"/>
      <c r="AY17" s="14"/>
      <c r="AZ17" s="14"/>
      <c r="BA17" s="14"/>
      <c r="BB17" s="14"/>
      <c r="BC17" s="14"/>
      <c r="BD17" s="14"/>
      <c r="BE17" s="14"/>
      <c r="BF17" s="14"/>
      <c r="BG17" s="14"/>
      <c r="BH17" s="14"/>
      <c r="BI17" s="14"/>
      <c r="BJ17" s="14"/>
    </row>
    <row r="18" spans="1:62" customFormat="1" ht="27.75" customHeight="1">
      <c r="A18" s="91" t="str">
        <f>CONCATENATE(LEFT(A7,1)+1,".")</f>
      </c>
      <c r="B18" s="71" t="str">
        <f>Vertaling!B38</f>
      </c>
      <c r="C18" s="263" t="str">
        <f>IF($D$17="","",Vertaling!$B$147)</f>
      </c>
      <c r="D18" s="279">
        <f>IF($D$9=dropdowns!$B$180,0,IF(DATA!$B$2="",0,DATA!$B$2))</f>
      </c>
      <c r="E18" s="263" t="str">
        <f>Vertaling!$B$147</f>
      </c>
      <c r="F18" s="279">
        <f>IF($D$9=dropdowns!$B$180,IF(DATA!$B$2="",0,DATA!$B$2),IF(DATA!$B$31="",0,DATA!$B$31))</f>
      </c>
      <c r="G18" s="1"/>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13"/>
      <c r="AL18" s="13"/>
      <c r="AM18" s="13"/>
      <c r="AN18" s="13"/>
      <c r="AO18" s="13"/>
      <c r="AP18" s="13"/>
      <c r="AQ18" s="13"/>
      <c r="AR18" s="13"/>
      <c r="AS18" s="13"/>
      <c r="AT18" s="13"/>
      <c r="AU18" s="13"/>
      <c r="AV18" s="13"/>
      <c r="AW18" s="13"/>
      <c r="AX18" s="14"/>
      <c r="AY18" s="14"/>
      <c r="AZ18" s="14"/>
      <c r="BA18" s="14"/>
      <c r="BB18" s="14"/>
      <c r="BC18" s="14"/>
      <c r="BD18" s="14"/>
      <c r="BE18" s="14"/>
      <c r="BF18" s="14"/>
      <c r="BG18" s="14"/>
      <c r="BH18" s="14"/>
      <c r="BI18" s="14"/>
      <c r="BJ18" s="14"/>
    </row>
    <row r="19" spans="1:62" customFormat="1" ht="7.5" customHeight="1">
      <c r="A19" s="236"/>
      <c r="B19" s="71"/>
      <c r="C19" s="263"/>
      <c r="D19" s="235"/>
      <c r="E19" s="263"/>
      <c r="F19" s="235"/>
      <c r="G19" s="237"/>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13"/>
      <c r="AL19" s="13"/>
      <c r="AM19" s="13"/>
      <c r="AN19" s="13"/>
      <c r="AO19" s="13"/>
      <c r="AP19" s="13"/>
      <c r="AQ19" s="13"/>
      <c r="AR19" s="13"/>
      <c r="AS19" s="13"/>
      <c r="AT19" s="13"/>
      <c r="AU19" s="13"/>
      <c r="AV19" s="13"/>
      <c r="AW19" s="13"/>
      <c r="AX19" s="14"/>
      <c r="AY19" s="14"/>
      <c r="AZ19" s="14"/>
      <c r="BA19" s="14"/>
      <c r="BB19" s="14"/>
      <c r="BC19" s="14"/>
      <c r="BD19" s="14"/>
      <c r="BE19" s="14"/>
      <c r="BF19" s="14"/>
      <c r="BG19" s="14"/>
      <c r="BH19" s="14"/>
      <c r="BI19" s="14"/>
      <c r="BJ19" s="14"/>
    </row>
    <row r="20" spans="1:62" customFormat="1" ht="25.5">
      <c r="A20" s="91" t="str">
        <f>CONCATENATE(LEFT(A18,1)+1,".")</f>
      </c>
      <c r="B20" s="71" t="str">
        <f>Vertaling!B39</f>
      </c>
      <c r="C20" s="263" t="str">
        <f>IF($D$17="","",Vertaling!$B$147)</f>
      </c>
      <c r="D20" s="279">
        <f>IF($D$9=dropdowns!$B$180,0,IF(DATA!$B$3="",0,DATA!$B$3))</f>
      </c>
      <c r="E20" s="263" t="str">
        <f>Vertaling!$B$147</f>
      </c>
      <c r="F20" s="279">
        <f>IF($D$9=dropdowns!$B$180,IF(DATA!$B$3="",0,DATA!$B$3),IF(DATA!$B$32="",0,DATA!$B$32))</f>
      </c>
      <c r="G20" s="1"/>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13"/>
      <c r="AL20" s="13"/>
      <c r="AM20" s="13"/>
      <c r="AN20" s="13"/>
      <c r="AO20" s="13"/>
      <c r="AP20" s="13"/>
      <c r="AQ20" s="13"/>
      <c r="AR20" s="13"/>
      <c r="AS20" s="13"/>
      <c r="AT20" s="13"/>
      <c r="AU20" s="13"/>
      <c r="AV20" s="13"/>
      <c r="AW20" s="13"/>
      <c r="AX20" s="14"/>
      <c r="AY20" s="14"/>
      <c r="AZ20" s="14"/>
      <c r="BA20" s="14"/>
      <c r="BB20" s="14"/>
      <c r="BC20" s="14"/>
      <c r="BD20" s="14"/>
      <c r="BE20" s="14"/>
      <c r="BF20" s="14"/>
      <c r="BG20" s="14"/>
      <c r="BH20" s="14"/>
      <c r="BI20" s="14"/>
      <c r="BJ20" s="14"/>
    </row>
    <row r="21" spans="1:62" customFormat="1" ht="7.5" customHeight="1">
      <c r="A21" s="236"/>
      <c r="B21" s="71"/>
      <c r="C21" s="263"/>
      <c r="D21" s="235"/>
      <c r="E21" s="263"/>
      <c r="F21" s="235"/>
      <c r="G21" s="237"/>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13"/>
      <c r="AL21" s="13"/>
      <c r="AM21" s="13"/>
      <c r="AN21" s="13"/>
      <c r="AO21" s="13"/>
      <c r="AP21" s="13"/>
      <c r="AQ21" s="13"/>
      <c r="AR21" s="13"/>
      <c r="AS21" s="13"/>
      <c r="AT21" s="13"/>
      <c r="AU21" s="13"/>
      <c r="AV21" s="13"/>
      <c r="AW21" s="13"/>
      <c r="AX21" s="14"/>
      <c r="AY21" s="14"/>
      <c r="AZ21" s="14"/>
      <c r="BA21" s="14"/>
      <c r="BB21" s="14"/>
      <c r="BC21" s="14"/>
      <c r="BD21" s="14"/>
      <c r="BE21" s="14"/>
      <c r="BF21" s="14"/>
      <c r="BG21" s="14"/>
      <c r="BH21" s="14"/>
      <c r="BI21" s="14"/>
      <c r="BJ21" s="14"/>
    </row>
    <row r="22" spans="1:62" customFormat="1" ht="40.5" customHeight="1">
      <c r="A22" s="91" t="str">
        <f>CONCATENATE(LEFT(A20,1)+1,".")</f>
      </c>
      <c r="B22" s="71" t="str">
        <f>Vertaling!B40</f>
      </c>
      <c r="C22" s="263" t="str">
        <f>IF($D$17="","",Vertaling!$B$147)</f>
      </c>
      <c r="D22" s="279">
        <f>IF($D$9=dropdowns!$B$180,0,IF(DATA!$B$4="",0,DATA!$B$4))+IF($D$9=dropdowns!$B$180,0,IF(DATA!$B$6="",0,DATA!$B$6))</f>
      </c>
      <c r="E22" s="263" t="str">
        <f>Vertaling!$B$147</f>
      </c>
      <c r="F22" s="279">
        <f>IF($D$9=dropdowns!$B$180,IF(DATA!$B$4="",0,DATA!$B$4),IF(DATA!$B$33="",0,DATA!$B$33))+IF($D$9=dropdowns!$B$180,IF(DATA!$B$6="",0,DATA!$B$6),IF(DATA!$B$35="",0,DATA!$B$35))</f>
      </c>
      <c r="G22" s="1"/>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13"/>
      <c r="AL22" s="13"/>
      <c r="AM22" s="13"/>
      <c r="AN22" s="13"/>
      <c r="AO22" s="13"/>
      <c r="AP22" s="13"/>
      <c r="AQ22" s="13"/>
      <c r="AR22" s="13"/>
      <c r="AS22" s="13"/>
      <c r="AT22" s="13"/>
      <c r="AU22" s="13"/>
      <c r="AV22" s="13"/>
      <c r="AW22" s="13"/>
      <c r="AX22" s="14"/>
      <c r="AY22" s="14"/>
      <c r="AZ22" s="14"/>
      <c r="BA22" s="14"/>
      <c r="BB22" s="14"/>
      <c r="BC22" s="14"/>
      <c r="BD22" s="14"/>
      <c r="BE22" s="14"/>
      <c r="BF22" s="14"/>
      <c r="BG22" s="14"/>
      <c r="BH22" s="14"/>
      <c r="BI22" s="14"/>
      <c r="BJ22" s="14"/>
    </row>
    <row r="23" spans="1:62" customFormat="1" ht="7.5" customHeight="1">
      <c r="A23" s="236"/>
      <c r="B23" s="71"/>
      <c r="C23" s="263"/>
      <c r="D23" s="235"/>
      <c r="E23" s="263"/>
      <c r="F23" s="235"/>
      <c r="G23" s="237"/>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13"/>
      <c r="AL23" s="13"/>
      <c r="AM23" s="13"/>
      <c r="AN23" s="13"/>
      <c r="AO23" s="13"/>
      <c r="AP23" s="13"/>
      <c r="AQ23" s="13"/>
      <c r="AR23" s="13"/>
      <c r="AS23" s="13"/>
      <c r="AT23" s="13"/>
      <c r="AU23" s="13"/>
      <c r="AV23" s="13"/>
      <c r="AW23" s="13"/>
      <c r="AX23" s="14"/>
      <c r="AY23" s="14"/>
      <c r="AZ23" s="14"/>
      <c r="BA23" s="14"/>
      <c r="BB23" s="14"/>
      <c r="BC23" s="14"/>
      <c r="BD23" s="14"/>
      <c r="BE23" s="14"/>
      <c r="BF23" s="14"/>
      <c r="BG23" s="14"/>
      <c r="BH23" s="14"/>
      <c r="BI23" s="14"/>
      <c r="BJ23" s="14"/>
    </row>
    <row r="24" spans="1:62" customFormat="1" ht="31.5" customHeight="1">
      <c r="A24" s="91" t="str">
        <f>CONCATENATE(LEFT(A22,1)+1,".")</f>
      </c>
      <c r="B24" s="71" t="str">
        <f>Vertaling!B41</f>
      </c>
      <c r="C24" s="263" t="str">
        <f>IF($D$17="","",Vertaling!$B$145)</f>
      </c>
      <c r="D24" s="281" t="str">
        <f>IF(DATA!B5="niente",dropdowns!B114,IF(DATA!B5="",dropdowns!B114,IF(DATA!B5="fino a mese 1",dropdowns!B115,IF(DATA!B5="fino a mese 2",dropdowns!B116,IF(DATA!B5="fino a mese 3",dropdowns!B117,IF(DATA!B5="fino a mese 4",dropdowns!B118,IF(DATA!B5="fino a mese 5",dropdowns!B119,IF(DATA!B5="fino a mese 6",dropdowns!B120,IF(DATA!B5="Continuerà normalmente",dropdowns!B112,"Niente")))))))))</f>
      </c>
      <c r="E24" s="263" t="str">
        <f>Vertaling!$B$145</f>
      </c>
      <c r="F24" s="279" t="str">
        <f>IF($D$9=dropdowns!$B$180,IF(DATA!$B$5="",dropdowns!$B$114,DATA!$B$5),IF(DATA!$B$34="",dropdowns!$B$114,DATA!$B$34))</f>
      </c>
      <c r="G24" s="244"/>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13"/>
      <c r="AL24" s="13"/>
      <c r="AM24" s="13"/>
      <c r="AN24" s="13"/>
      <c r="AO24" s="13"/>
      <c r="AP24" s="13"/>
      <c r="AQ24" s="13"/>
      <c r="AR24" s="13"/>
      <c r="AS24" s="13"/>
      <c r="AT24" s="13"/>
      <c r="AU24" s="13"/>
      <c r="AV24" s="13"/>
      <c r="AW24" s="13"/>
      <c r="AX24" s="14"/>
      <c r="AY24" s="14"/>
      <c r="AZ24" s="14"/>
      <c r="BA24" s="14"/>
      <c r="BB24" s="14"/>
      <c r="BC24" s="14"/>
      <c r="BD24" s="14"/>
      <c r="BE24" s="14"/>
      <c r="BF24" s="14"/>
      <c r="BG24" s="14"/>
      <c r="BH24" s="14"/>
      <c r="BI24" s="14"/>
      <c r="BJ24" s="14"/>
    </row>
    <row r="25" spans="1:62" customFormat="1" ht="7.5" customHeight="1">
      <c r="A25" s="236"/>
      <c r="B25" s="71"/>
      <c r="C25" s="263"/>
      <c r="D25" s="245"/>
      <c r="E25" s="263"/>
      <c r="F25" s="245"/>
      <c r="G25" s="237"/>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13"/>
      <c r="AL25" s="13"/>
      <c r="AM25" s="13"/>
      <c r="AN25" s="13"/>
      <c r="AO25" s="13"/>
      <c r="AP25" s="13"/>
      <c r="AQ25" s="13"/>
      <c r="AR25" s="13"/>
      <c r="AS25" s="13"/>
      <c r="AT25" s="13"/>
      <c r="AU25" s="13"/>
      <c r="AV25" s="13"/>
      <c r="AW25" s="13"/>
      <c r="AX25" s="14"/>
      <c r="AY25" s="14"/>
      <c r="AZ25" s="14"/>
      <c r="BA25" s="14"/>
      <c r="BB25" s="14"/>
      <c r="BC25" s="14"/>
      <c r="BD25" s="14"/>
      <c r="BE25" s="14"/>
      <c r="BF25" s="14"/>
      <c r="BG25" s="14"/>
      <c r="BH25" s="14"/>
      <c r="BI25" s="14"/>
      <c r="BJ25" s="14"/>
    </row>
    <row r="26" spans="1:62" customFormat="1" ht="12.75">
      <c r="A26" s="91" t="str">
        <f>CONCATENATE(LEFT(A24,1)+1,".")</f>
      </c>
      <c r="B26" s="71"/>
      <c r="C26" s="263" t="str">
        <f>IF($D$17="","",Vertaling!$B$147)</f>
      </c>
      <c r="D26" s="279"/>
      <c r="E26" s="263" t="str">
        <f>Vertaling!$B$147</f>
      </c>
      <c r="F26" s="279"/>
      <c r="G26" s="1"/>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13"/>
      <c r="AL26" s="13"/>
      <c r="AM26" s="13"/>
      <c r="AN26" s="13"/>
      <c r="AO26" s="13"/>
      <c r="AP26" s="13"/>
      <c r="AQ26" s="13"/>
      <c r="AR26" s="13"/>
      <c r="AS26" s="13"/>
      <c r="AT26" s="13"/>
      <c r="AU26" s="13"/>
      <c r="AV26" s="13"/>
      <c r="AW26" s="13"/>
      <c r="AX26" s="14"/>
      <c r="AY26" s="14"/>
      <c r="AZ26" s="14"/>
      <c r="BA26" s="14"/>
      <c r="BB26" s="14"/>
      <c r="BC26" s="14"/>
      <c r="BD26" s="14"/>
      <c r="BE26" s="14"/>
      <c r="BF26" s="14"/>
      <c r="BG26" s="14"/>
      <c r="BH26" s="14"/>
      <c r="BI26" s="14"/>
      <c r="BJ26" s="14"/>
    </row>
    <row r="27" spans="1:62" customFormat="1" ht="7.5" customHeight="1">
      <c r="A27" s="70"/>
      <c r="B27" s="71"/>
      <c r="C27" s="265"/>
      <c r="D27" s="2"/>
      <c r="E27" s="265"/>
      <c r="F27" s="2"/>
      <c r="G27" s="1"/>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13"/>
      <c r="AL27" s="13"/>
      <c r="AM27" s="13"/>
      <c r="AN27" s="13"/>
      <c r="AO27" s="13"/>
      <c r="AP27" s="13"/>
      <c r="AQ27" s="13"/>
      <c r="AR27" s="13"/>
      <c r="AS27" s="13"/>
      <c r="AT27" s="13"/>
      <c r="AU27" s="13"/>
      <c r="AV27" s="13"/>
      <c r="AW27" s="13"/>
      <c r="AX27" s="14"/>
      <c r="AY27" s="14"/>
      <c r="AZ27" s="14"/>
      <c r="BA27" s="14"/>
      <c r="BB27" s="14"/>
      <c r="BC27" s="14"/>
      <c r="BD27" s="14"/>
      <c r="BE27" s="14"/>
      <c r="BF27" s="14"/>
      <c r="BG27" s="14"/>
      <c r="BH27" s="14"/>
      <c r="BI27" s="14"/>
      <c r="BJ27" s="14"/>
    </row>
    <row r="28" spans="1:62" customFormat="1" ht="12.75">
      <c r="A28" s="91" t="str">
        <f>CONCATENATE(LEFT(A26,1)+1,".")</f>
      </c>
      <c r="B28" s="71" t="str">
        <f>Vertaling!B43</f>
      </c>
      <c r="C28" s="263" t="str">
        <f>IF($D$17="","",Vertaling!$B$145)</f>
      </c>
      <c r="D28" s="281" t="str">
        <f>IF(D9="due",IF(DATA!B36="sì",DATA!B36,dropdowns!B3),dropdowns!B3)</f>
      </c>
      <c r="E28" s="263" t="str">
        <f>Vertaling!$B$145</f>
      </c>
      <c r="F28" s="279" t="str">
        <f>IF($D$9=dropdowns!$B$180,IF(DATA!$B$7="",dropdowns!$B$3,DATA!$B$7),IF(DATA!$B$36="",dropdowns!$B$3,DATA!$B$36))</f>
      </c>
      <c r="G28" s="244"/>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13"/>
      <c r="AL28" s="13"/>
      <c r="AM28" s="13"/>
      <c r="AN28" s="13"/>
      <c r="AO28" s="13"/>
      <c r="AP28" s="13"/>
      <c r="AQ28" s="13"/>
      <c r="AR28" s="13"/>
      <c r="AS28" s="13"/>
      <c r="AT28" s="13"/>
      <c r="AU28" s="13"/>
      <c r="AV28" s="13"/>
      <c r="AW28" s="13"/>
      <c r="AX28" s="14"/>
      <c r="AY28" s="14"/>
      <c r="AZ28" s="14"/>
      <c r="BA28" s="14"/>
      <c r="BB28" s="14"/>
      <c r="BC28" s="14"/>
      <c r="BD28" s="14"/>
      <c r="BE28" s="14"/>
      <c r="BF28" s="14"/>
      <c r="BG28" s="14"/>
      <c r="BH28" s="14"/>
      <c r="BI28" s="14"/>
      <c r="BJ28" s="14"/>
    </row>
    <row r="29" spans="1:62" customFormat="1" ht="7.5" customHeight="1">
      <c r="A29" s="236"/>
      <c r="B29" s="71"/>
      <c r="C29" s="263"/>
      <c r="D29" s="235"/>
      <c r="E29" s="263"/>
      <c r="F29" s="235"/>
      <c r="G29" s="237"/>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13"/>
      <c r="AL29" s="13"/>
      <c r="AM29" s="13"/>
      <c r="AN29" s="13"/>
      <c r="AO29" s="13"/>
      <c r="AP29" s="13"/>
      <c r="AQ29" s="13"/>
      <c r="AR29" s="13"/>
      <c r="AS29" s="13"/>
      <c r="AT29" s="13"/>
      <c r="AU29" s="13"/>
      <c r="AV29" s="13"/>
      <c r="AW29" s="13"/>
      <c r="AX29" s="14"/>
      <c r="AY29" s="14"/>
      <c r="AZ29" s="14"/>
      <c r="BA29" s="14"/>
      <c r="BB29" s="14"/>
      <c r="BC29" s="14"/>
      <c r="BD29" s="14"/>
      <c r="BE29" s="14"/>
      <c r="BF29" s="14"/>
      <c r="BG29" s="14"/>
      <c r="BH29" s="14"/>
      <c r="BI29" s="14"/>
      <c r="BJ29" s="14"/>
    </row>
    <row r="30" spans="1:62" customFormat="1" ht="31.5" customHeight="1">
      <c r="A30" s="91" t="str">
        <f>CONCATENATE(LEFT(A28,1)+1,".")</f>
      </c>
      <c r="B30" s="71" t="str">
        <f>Vertaling!B44</f>
      </c>
      <c r="C30" s="263" t="str">
        <f>IF($D$17="","",Vertaling!$B$149)</f>
      </c>
      <c r="D30" s="279">
        <f>IF($D$9=dropdowns!$B$180,0,IF(DATA!$B$8="",0,DATA!$B$8))</f>
      </c>
      <c r="E30" s="264" t="str">
        <f>Vertaling!$B$148</f>
      </c>
      <c r="F30" s="279">
        <f>IF($D$9=dropdowns!$B$180,IF(DATA!$B$8="",0,DATA!$B$8),IF(DATA!$B$37="",0,DATA!$B$37))</f>
      </c>
      <c r="G30" s="16"/>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13"/>
      <c r="AL30" s="13"/>
      <c r="AM30" s="13"/>
      <c r="AN30" s="13"/>
      <c r="AO30" s="13"/>
      <c r="AP30" s="13"/>
      <c r="AQ30" s="13"/>
      <c r="AR30" s="13"/>
      <c r="AS30" s="13"/>
      <c r="AT30" s="13"/>
      <c r="AU30" s="13"/>
      <c r="AV30" s="13"/>
      <c r="AW30" s="13"/>
      <c r="AX30" s="14"/>
      <c r="AY30" s="14"/>
      <c r="AZ30" s="14"/>
      <c r="BA30" s="14"/>
      <c r="BB30" s="14"/>
      <c r="BC30" s="14"/>
      <c r="BD30" s="14"/>
      <c r="BE30" s="14"/>
      <c r="BF30" s="14"/>
      <c r="BG30" s="14"/>
      <c r="BH30" s="14"/>
      <c r="BI30" s="14"/>
      <c r="BJ30" s="14"/>
    </row>
    <row r="31" spans="1:62" customFormat="1" ht="7.5" customHeight="1">
      <c r="A31" s="236"/>
      <c r="B31" s="71"/>
      <c r="C31" s="263"/>
      <c r="D31" s="235"/>
      <c r="E31" s="263"/>
      <c r="F31" s="235"/>
      <c r="G31" s="237"/>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13"/>
      <c r="AL31" s="13"/>
      <c r="AM31" s="13"/>
      <c r="AN31" s="13"/>
      <c r="AO31" s="13"/>
      <c r="AP31" s="13"/>
      <c r="AQ31" s="13"/>
      <c r="AR31" s="13"/>
      <c r="AS31" s="13"/>
      <c r="AT31" s="13"/>
      <c r="AU31" s="13"/>
      <c r="AV31" s="13"/>
      <c r="AW31" s="13"/>
      <c r="AX31" s="14"/>
      <c r="AY31" s="14"/>
      <c r="AZ31" s="14"/>
      <c r="BA31" s="14"/>
      <c r="BB31" s="14"/>
      <c r="BC31" s="14"/>
      <c r="BD31" s="14"/>
      <c r="BE31" s="14"/>
      <c r="BF31" s="14"/>
      <c r="BG31" s="14"/>
      <c r="BH31" s="14"/>
      <c r="BI31" s="14"/>
      <c r="BJ31" s="14"/>
    </row>
    <row r="32" spans="1:62" customFormat="1" ht="31.5" customHeight="1">
      <c r="A32" s="91" t="str">
        <f>CONCATENATE(LEFT(A30,1)+1,".")</f>
      </c>
      <c r="B32" s="71" t="str">
        <f>Vertaling!B45</f>
      </c>
      <c r="C32" s="263" t="str">
        <f>IF($D$17="","",Vertaling!$B$149)</f>
      </c>
      <c r="D32" s="279">
        <f>IF($D$9=dropdowns!$B$180,0,IF(DATA!$B$9="",0,DATA!$B$9))</f>
      </c>
      <c r="E32" s="264" t="str">
        <f>Vertaling!$B$148</f>
      </c>
      <c r="F32" s="279">
        <f>IF($D$9=dropdowns!$B$180,IF(DATA!$B$9="",0,DATA!$B$9),IF(DATA!$B$38="",0,DATA!$B$38))</f>
      </c>
      <c r="G32" s="1"/>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13"/>
      <c r="AL32" s="13"/>
      <c r="AM32" s="13"/>
      <c r="AN32" s="13"/>
      <c r="AO32" s="13"/>
      <c r="AP32" s="13"/>
      <c r="AQ32" s="13"/>
      <c r="AR32" s="13"/>
      <c r="AS32" s="13"/>
      <c r="AT32" s="13"/>
      <c r="AU32" s="13"/>
      <c r="AV32" s="13"/>
      <c r="AW32" s="13"/>
      <c r="AX32" s="14"/>
      <c r="AY32" s="14"/>
      <c r="AZ32" s="14"/>
      <c r="BA32" s="14"/>
      <c r="BB32" s="14"/>
      <c r="BC32" s="14"/>
      <c r="BD32" s="14"/>
      <c r="BE32" s="14"/>
      <c r="BF32" s="14"/>
      <c r="BG32" s="14"/>
      <c r="BH32" s="14"/>
      <c r="BI32" s="14"/>
      <c r="BJ32" s="14"/>
    </row>
    <row r="33" spans="1:65" customFormat="1" ht="12.75">
      <c r="A33" s="70"/>
      <c r="B33" s="287"/>
      <c r="C33" s="288"/>
      <c r="D33" s="292"/>
      <c r="E33" s="288"/>
      <c r="F33" s="292"/>
      <c r="G33" s="1"/>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13"/>
      <c r="AL33" s="13"/>
      <c r="AM33" s="13"/>
      <c r="AN33" s="13"/>
      <c r="AO33" s="13"/>
      <c r="AP33" s="13"/>
      <c r="AQ33" s="13"/>
      <c r="AR33" s="13"/>
      <c r="AS33" s="13"/>
      <c r="AT33" s="13"/>
      <c r="AU33" s="13"/>
      <c r="AV33" s="13"/>
      <c r="AW33" s="13"/>
      <c r="AX33" s="14"/>
      <c r="AY33" s="14"/>
      <c r="AZ33" s="14"/>
      <c r="BA33" s="14"/>
      <c r="BB33" s="14"/>
      <c r="BC33" s="14"/>
      <c r="BD33" s="14"/>
      <c r="BE33" s="14"/>
      <c r="BF33" s="14"/>
      <c r="BG33" s="14"/>
      <c r="BH33" s="14"/>
      <c r="BI33" s="14"/>
      <c r="BJ33" s="14"/>
    </row>
    <row r="34" spans="1:65" customFormat="1" ht="12.75">
      <c r="A34" s="70"/>
      <c r="B34" s="353"/>
      <c r="C34" s="265"/>
      <c r="D34" s="261" t="str">
        <f>$D$17</f>
      </c>
      <c r="E34" s="265"/>
      <c r="F34" s="261" t="str">
        <f>$F$17</f>
      </c>
      <c r="G34" s="1"/>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13"/>
      <c r="AL34" s="13"/>
      <c r="AM34" s="13"/>
      <c r="AN34" s="13"/>
      <c r="AO34" s="13"/>
      <c r="AP34" s="13"/>
      <c r="AQ34" s="13"/>
      <c r="AR34" s="13"/>
      <c r="AS34" s="13"/>
      <c r="AT34" s="13"/>
      <c r="AU34" s="13"/>
      <c r="AV34" s="13"/>
      <c r="AW34" s="13"/>
      <c r="AX34" s="14"/>
      <c r="AY34" s="14"/>
      <c r="AZ34" s="14"/>
      <c r="BA34" s="14"/>
      <c r="BB34" s="14"/>
      <c r="BC34" s="14"/>
      <c r="BD34" s="14"/>
      <c r="BE34" s="14"/>
      <c r="BF34" s="14"/>
      <c r="BG34" s="14"/>
      <c r="BH34" s="14"/>
      <c r="BI34" s="14"/>
      <c r="BJ34" s="14"/>
    </row>
    <row r="35" spans="1:65" customFormat="1" ht="31.5" customHeight="1">
      <c r="A35" s="91"/>
      <c r="B35" s="3" t="str">
        <f>Vertaling!B46</f>
      </c>
      <c r="C35" s="263" t="str">
        <f>IF($D$17="","",Vertaling!$B$150)</f>
      </c>
      <c r="D35" s="286">
        <f>D18+D22+D26+D30</f>
      </c>
      <c r="E35" s="263" t="str">
        <f>Vertaling!$B$150</f>
      </c>
      <c r="F35" s="286">
        <f>F18+F22+F26+F30</f>
      </c>
      <c r="G35" s="1"/>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13"/>
      <c r="AL35" s="13"/>
      <c r="AM35" s="13"/>
      <c r="AN35" s="13"/>
      <c r="AO35" s="13"/>
      <c r="AP35" s="13"/>
      <c r="AQ35" s="13"/>
      <c r="AR35" s="13"/>
      <c r="AS35" s="13"/>
      <c r="AT35" s="13"/>
      <c r="AU35" s="13"/>
      <c r="AV35" s="13"/>
      <c r="AW35" s="13"/>
      <c r="AX35" s="14"/>
      <c r="AY35" s="14"/>
      <c r="AZ35" s="14"/>
      <c r="BA35" s="14"/>
      <c r="BB35" s="14"/>
      <c r="BC35" s="14"/>
      <c r="BD35" s="14"/>
      <c r="BE35" s="14"/>
      <c r="BF35" s="14"/>
      <c r="BG35" s="14"/>
      <c r="BH35" s="14"/>
      <c r="BI35" s="14"/>
      <c r="BJ35" s="14"/>
    </row>
    <row r="36" spans="1:65" customFormat="1" ht="7.5" customHeight="1">
      <c r="A36" s="236"/>
      <c r="B36" s="353"/>
      <c r="C36" s="263"/>
      <c r="D36" s="235"/>
      <c r="E36" s="263"/>
      <c r="F36" s="235"/>
      <c r="G36" s="237"/>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13"/>
      <c r="AL36" s="13"/>
      <c r="AM36" s="13"/>
      <c r="AN36" s="13"/>
      <c r="AO36" s="13"/>
      <c r="AP36" s="13"/>
      <c r="AQ36" s="13"/>
      <c r="AR36" s="13"/>
      <c r="AS36" s="13"/>
      <c r="AT36" s="13"/>
      <c r="AU36" s="13"/>
      <c r="AV36" s="13"/>
      <c r="AW36" s="13"/>
      <c r="AX36" s="14"/>
      <c r="AY36" s="14"/>
      <c r="AZ36" s="14"/>
      <c r="BA36" s="14"/>
      <c r="BB36" s="14"/>
      <c r="BC36" s="14"/>
      <c r="BD36" s="14"/>
      <c r="BE36" s="14"/>
      <c r="BF36" s="14"/>
      <c r="BG36" s="14"/>
      <c r="BH36" s="14"/>
      <c r="BI36" s="14"/>
      <c r="BJ36" s="14"/>
    </row>
    <row r="37" spans="1:65" customFormat="1" ht="12.75">
      <c r="A37" s="91"/>
      <c r="B37" s="353" t="str">
        <f>Vertaling!B47</f>
      </c>
      <c r="C37" s="263" t="str">
        <f>IF($D$17="","",Vertaling!$B$150)</f>
      </c>
      <c r="D37" s="286">
        <f>D20+IF(D24=dropdowns!$B$113,0,D22)+D26+D32</f>
      </c>
      <c r="E37" s="263" t="str">
        <f>Vertaling!$B$150</f>
      </c>
      <c r="F37" s="286">
        <f>F20+IF(F24=dropdowns!$B$113,0,F22)+F26+F32</f>
      </c>
      <c r="G37" s="1"/>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13"/>
      <c r="AL37" s="13"/>
      <c r="AM37" s="13"/>
      <c r="AN37" s="13"/>
      <c r="AO37" s="13"/>
      <c r="AP37" s="13"/>
      <c r="AQ37" s="13"/>
      <c r="AR37" s="13"/>
      <c r="AS37" s="13"/>
      <c r="AT37" s="13"/>
      <c r="AU37" s="13"/>
      <c r="AV37" s="13"/>
      <c r="AW37" s="13"/>
      <c r="AX37" s="14"/>
      <c r="AY37" s="14"/>
      <c r="AZ37" s="14"/>
      <c r="BA37" s="14"/>
      <c r="BB37" s="14"/>
      <c r="BC37" s="14"/>
      <c r="BD37" s="14"/>
      <c r="BE37" s="14"/>
      <c r="BF37" s="14"/>
      <c r="BG37" s="14"/>
      <c r="BH37" s="14"/>
      <c r="BI37" s="14"/>
      <c r="BJ37" s="14"/>
    </row>
    <row r="38" spans="1:65" customFormat="1" ht="12.75">
      <c r="A38" s="70"/>
      <c r="B38" s="287"/>
      <c r="C38" s="288"/>
      <c r="D38" s="291"/>
      <c r="E38" s="288"/>
      <c r="F38" s="291"/>
      <c r="G38" s="1"/>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13"/>
      <c r="AL38" s="13"/>
      <c r="AM38" s="13"/>
      <c r="AN38" s="13"/>
      <c r="AO38" s="13"/>
      <c r="AP38" s="13"/>
      <c r="AQ38" s="13"/>
      <c r="AR38" s="13"/>
      <c r="AS38" s="13"/>
      <c r="AT38" s="13"/>
      <c r="AU38" s="13"/>
      <c r="AV38" s="13"/>
      <c r="AW38" s="13"/>
      <c r="AX38" s="14"/>
      <c r="AY38" s="14"/>
      <c r="AZ38" s="14"/>
      <c r="BA38" s="14"/>
      <c r="BB38" s="14"/>
      <c r="BC38" s="14"/>
      <c r="BD38" s="14"/>
      <c r="BE38" s="14"/>
      <c r="BF38" s="14"/>
      <c r="BG38" s="14"/>
      <c r="BH38" s="14"/>
      <c r="BI38" s="14"/>
      <c r="BJ38" s="14"/>
    </row>
    <row r="39" spans="1:65" customFormat="1" ht="12.75">
      <c r="A39" s="70"/>
      <c r="B39" s="353"/>
      <c r="C39" s="265"/>
      <c r="D39" s="1"/>
      <c r="E39" s="265"/>
      <c r="F39" s="1"/>
      <c r="G39" s="1"/>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13"/>
      <c r="AL39" s="13"/>
      <c r="AM39" s="13"/>
      <c r="AN39" s="13"/>
      <c r="AO39" s="13"/>
      <c r="AP39" s="13"/>
      <c r="AQ39" s="13"/>
      <c r="AR39" s="13"/>
      <c r="AS39" s="13"/>
      <c r="AT39" s="13"/>
      <c r="AU39" s="13"/>
      <c r="AV39" s="13"/>
      <c r="AW39" s="13"/>
      <c r="AX39" s="14"/>
      <c r="AY39" s="14"/>
      <c r="AZ39" s="14"/>
      <c r="BA39" s="14"/>
      <c r="BB39" s="14"/>
      <c r="BC39" s="14"/>
      <c r="BD39" s="14"/>
      <c r="BE39" s="14"/>
      <c r="BF39" s="14"/>
      <c r="BG39" s="14"/>
      <c r="BH39" s="14"/>
      <c r="BI39" s="14"/>
      <c r="BJ39" s="14"/>
    </row>
    <row r="40" spans="1:65" customFormat="1" ht="12.75">
      <c r="A40" s="70"/>
      <c r="B40" s="234" t="str">
        <f>Vertaling!B48</f>
      </c>
      <c r="C40" s="268"/>
      <c r="D40" s="239"/>
      <c r="E40" s="268"/>
      <c r="F40" s="239"/>
      <c r="G40" s="1"/>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13"/>
      <c r="AL40" s="13"/>
      <c r="AM40" s="13"/>
      <c r="AN40" s="13"/>
      <c r="AO40" s="13"/>
      <c r="AP40" s="13"/>
      <c r="AQ40" s="13"/>
      <c r="AR40" s="13"/>
      <c r="AS40" s="13"/>
      <c r="AT40" s="13"/>
      <c r="AU40" s="13"/>
      <c r="AV40" s="13"/>
      <c r="AW40" s="13"/>
      <c r="AX40" s="14"/>
      <c r="AY40" s="14"/>
      <c r="AZ40" s="14"/>
      <c r="BA40" s="14"/>
      <c r="BB40" s="14"/>
      <c r="BC40" s="14"/>
      <c r="BD40" s="14"/>
      <c r="BE40" s="14"/>
      <c r="BF40" s="14"/>
      <c r="BG40" s="14"/>
      <c r="BH40" s="14"/>
      <c r="BI40" s="14"/>
      <c r="BJ40" s="14"/>
    </row>
    <row r="41" spans="1:65" customFormat="1" ht="22.5" customHeight="1">
      <c r="A41" s="91" t="str">
        <f>CONCATENATE(LEFT(A32,1)+1,".")</f>
      </c>
      <c r="B41" s="238" t="str">
        <f>Vertaling!B49</f>
      </c>
      <c r="C41" s="265"/>
      <c r="D41" s="261" t="str">
        <f>$D$17</f>
      </c>
      <c r="E41" s="265"/>
      <c r="F41" s="261" t="str">
        <f>$F$17</f>
      </c>
      <c r="G41" s="1"/>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13"/>
      <c r="AL41" s="13"/>
      <c r="AM41" s="13"/>
      <c r="AN41" s="13"/>
      <c r="AO41" s="13"/>
      <c r="AP41" s="13"/>
      <c r="AQ41" s="13"/>
      <c r="AR41" s="13"/>
      <c r="AS41" s="13"/>
      <c r="AT41" s="13"/>
      <c r="AU41" s="13"/>
      <c r="AV41" s="13"/>
      <c r="AW41" s="13"/>
      <c r="AX41" s="14"/>
      <c r="AY41" s="14"/>
      <c r="AZ41" s="14"/>
      <c r="BA41" s="14"/>
      <c r="BB41" s="14"/>
      <c r="BC41" s="14"/>
      <c r="BD41" s="14"/>
      <c r="BE41" s="14"/>
      <c r="BF41" s="14"/>
      <c r="BG41" s="14"/>
      <c r="BH41" s="14"/>
      <c r="BI41" s="14"/>
      <c r="BJ41" s="14"/>
    </row>
    <row r="42" spans="1:65" s="1" customFormat="1" ht="12.75">
      <c r="A42" s="91" t="s">
        <v>4</v>
      </c>
      <c r="B42" s="353" t="str">
        <f>Vertaling!B50</f>
      </c>
      <c r="C42" s="263" t="str">
        <f>IF($D$17="","",Vertaling!$B$147)</f>
      </c>
      <c r="D42" s="282">
        <f>IF($D$9=dropdowns!$B$180,0,IF(DATA!$B$12="",0,DATA!$B$12))</f>
      </c>
      <c r="E42" s="263" t="str">
        <f>Vertaling!$B$147</f>
      </c>
      <c r="F42" s="282">
        <f>IF($D$9=dropdowns!$B$180,IF(DATA!$B$12="",0,DATA!$B$12),IF(DATA!$B$41="",0,DATA!$B$41))</f>
      </c>
      <c r="G42" s="353"/>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353"/>
      <c r="BL42" s="353"/>
      <c r="BM42" s="353"/>
    </row>
    <row r="43" spans="1:65" customFormat="1" ht="7.5" customHeight="1">
      <c r="A43" s="236"/>
      <c r="B43" s="353"/>
      <c r="C43" s="263"/>
      <c r="D43" s="247"/>
      <c r="E43" s="263"/>
      <c r="F43" s="247"/>
      <c r="G43" s="237"/>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13"/>
      <c r="AL43" s="13"/>
      <c r="AM43" s="13"/>
      <c r="AN43" s="13"/>
      <c r="AO43" s="13"/>
      <c r="AP43" s="13"/>
      <c r="AQ43" s="13"/>
      <c r="AR43" s="13"/>
      <c r="AS43" s="13"/>
      <c r="AT43" s="13"/>
      <c r="AU43" s="13"/>
      <c r="AV43" s="13"/>
      <c r="AW43" s="13"/>
      <c r="AX43" s="14"/>
      <c r="AY43" s="14"/>
      <c r="AZ43" s="14"/>
      <c r="BA43" s="14"/>
      <c r="BB43" s="14"/>
      <c r="BC43" s="14"/>
      <c r="BD43" s="14"/>
      <c r="BE43" s="14"/>
      <c r="BF43" s="14"/>
      <c r="BG43" s="14"/>
      <c r="BH43" s="14"/>
      <c r="BI43" s="14"/>
      <c r="BJ43" s="14"/>
    </row>
    <row r="44" spans="1:65" s="1" customFormat="1" ht="12.75">
      <c r="A44" s="91" t="s">
        <v>4</v>
      </c>
      <c r="B44" s="1" t="str">
        <f>Vertaling!B51</f>
      </c>
      <c r="C44" s="263" t="str">
        <f>IF($D$17="","",Vertaling!$B$147)</f>
      </c>
      <c r="D44" s="282">
        <f>IF($D$9=dropdowns!$B$180,0,IF(DATA!$B$13="",0,DATA!$B$13))</f>
      </c>
      <c r="E44" s="263" t="str">
        <f>Vertaling!$B$147</f>
      </c>
      <c r="F44" s="282">
        <f>IF($D$9=dropdowns!$B$180,IF(DATA!$B$13="",0,DATA!$B$13),IF(DATA!$B$42="",0,DATA!$B$42))</f>
      </c>
      <c r="G44" s="353"/>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353"/>
      <c r="BL44" s="353"/>
      <c r="BM44" s="353"/>
    </row>
    <row r="45" spans="1:65" customFormat="1" ht="7.5" customHeight="1">
      <c r="A45" s="236"/>
      <c r="B45" s="353"/>
      <c r="C45" s="263"/>
      <c r="D45" s="247"/>
      <c r="E45" s="263"/>
      <c r="F45" s="247"/>
      <c r="G45" s="237"/>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13"/>
      <c r="AL45" s="13"/>
      <c r="AM45" s="13"/>
      <c r="AN45" s="13"/>
      <c r="AO45" s="13"/>
      <c r="AP45" s="13"/>
      <c r="AQ45" s="13"/>
      <c r="AR45" s="13"/>
      <c r="AS45" s="13"/>
      <c r="AT45" s="13"/>
      <c r="AU45" s="13"/>
      <c r="AV45" s="13"/>
      <c r="AW45" s="13"/>
      <c r="AX45" s="14"/>
      <c r="AY45" s="14"/>
      <c r="AZ45" s="14"/>
      <c r="BA45" s="14"/>
      <c r="BB45" s="14"/>
      <c r="BC45" s="14"/>
      <c r="BD45" s="14"/>
      <c r="BE45" s="14"/>
      <c r="BF45" s="14"/>
      <c r="BG45" s="14"/>
      <c r="BH45" s="14"/>
      <c r="BI45" s="14"/>
      <c r="BJ45" s="14"/>
    </row>
    <row r="46" spans="1:65" s="1" customFormat="1" ht="12.75">
      <c r="A46" s="91" t="s">
        <v>4</v>
      </c>
      <c r="B46" s="353" t="str">
        <f>Vertaling!B52</f>
      </c>
      <c r="C46" s="263" t="str">
        <f>IF($D$17="","",Vertaling!$B$147)</f>
      </c>
      <c r="D46" s="282">
        <f>IF($D$9=dropdowns!$B$180,0,IF(DATA!$B$14="",0,DATA!$B$14))</f>
      </c>
      <c r="E46" s="263" t="str">
        <f>Vertaling!$B$147</f>
      </c>
      <c r="F46" s="282">
        <f>IF($D$9=dropdowns!$B$180,IF(DATA!$B$14="",0,DATA!$B$14),IF(DATA!$B$43="",0,DATA!$B$43))</f>
      </c>
      <c r="G46" s="353"/>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353"/>
      <c r="BL46" s="353"/>
      <c r="BM46" s="353"/>
    </row>
    <row r="47" spans="1:65" customFormat="1" ht="7.5" customHeight="1">
      <c r="A47" s="236"/>
      <c r="B47" s="353"/>
      <c r="C47" s="263"/>
      <c r="D47" s="247"/>
      <c r="E47" s="263"/>
      <c r="F47" s="247"/>
      <c r="G47" s="237"/>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13"/>
      <c r="AL47" s="13"/>
      <c r="AM47" s="13"/>
      <c r="AN47" s="13"/>
      <c r="AO47" s="13"/>
      <c r="AP47" s="13"/>
      <c r="AQ47" s="13"/>
      <c r="AR47" s="13"/>
      <c r="AS47" s="13"/>
      <c r="AT47" s="13"/>
      <c r="AU47" s="13"/>
      <c r="AV47" s="13"/>
      <c r="AW47" s="13"/>
      <c r="AX47" s="14"/>
      <c r="AY47" s="14"/>
      <c r="AZ47" s="14"/>
      <c r="BA47" s="14"/>
      <c r="BB47" s="14"/>
      <c r="BC47" s="14"/>
      <c r="BD47" s="14"/>
      <c r="BE47" s="14"/>
      <c r="BF47" s="14"/>
      <c r="BG47" s="14"/>
      <c r="BH47" s="14"/>
      <c r="BI47" s="14"/>
      <c r="BJ47" s="14"/>
    </row>
    <row r="48" spans="1:65" s="1" customFormat="1" ht="12.75">
      <c r="A48" s="91" t="s">
        <v>4</v>
      </c>
      <c r="B48" s="353" t="str">
        <f>Vertaling!B53</f>
      </c>
      <c r="C48" s="263" t="str">
        <f>IF($D$17="","",Vertaling!$B$147)</f>
      </c>
      <c r="D48" s="282">
        <f>IF($D$9=dropdowns!$B$180,0,IF(DATA!$B$15="",0,DATA!$B$15))</f>
      </c>
      <c r="E48" s="263" t="str">
        <f>Vertaling!$B$147</f>
      </c>
      <c r="F48" s="282">
        <f>IF($D$9=dropdowns!$B$180,IF(DATA!$B$15="",0,DATA!$B$15),IF(DATA!$B$44="",0,DATA!$B$44))</f>
      </c>
      <c r="G48" s="353"/>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353"/>
      <c r="BL48" s="353"/>
      <c r="BM48" s="353"/>
    </row>
    <row r="49" spans="1:65" customFormat="1" ht="7.5" customHeight="1">
      <c r="A49" s="236"/>
      <c r="B49" s="355"/>
      <c r="C49" s="263"/>
      <c r="D49" s="247"/>
      <c r="E49" s="263"/>
      <c r="F49" s="247"/>
      <c r="G49" s="237"/>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13"/>
      <c r="AL49" s="13"/>
      <c r="AM49" s="13"/>
      <c r="AN49" s="13"/>
      <c r="AO49" s="13"/>
      <c r="AP49" s="13"/>
      <c r="AQ49" s="13"/>
      <c r="AR49" s="13"/>
      <c r="AS49" s="13"/>
      <c r="AT49" s="13"/>
      <c r="AU49" s="13"/>
      <c r="AV49" s="13"/>
      <c r="AW49" s="13"/>
      <c r="AX49" s="14"/>
      <c r="AY49" s="14"/>
      <c r="AZ49" s="14"/>
      <c r="BA49" s="14"/>
      <c r="BB49" s="14"/>
      <c r="BC49" s="14"/>
      <c r="BD49" s="14"/>
      <c r="BE49" s="14"/>
      <c r="BF49" s="14"/>
      <c r="BG49" s="14"/>
      <c r="BH49" s="14"/>
      <c r="BI49" s="14"/>
      <c r="BJ49" s="14"/>
    </row>
    <row r="50" spans="1:65" s="1" customFormat="1" ht="12.75">
      <c r="A50" s="91" t="s">
        <v>4</v>
      </c>
      <c r="B50" s="353" t="str">
        <f>Vertaling!B54</f>
      </c>
      <c r="C50" s="263" t="str">
        <f>IF($D$17="","",Vertaling!$B$147)</f>
      </c>
      <c r="D50" s="282">
        <f>IF($D$9=dropdowns!$B$180,0,IF(DATA!$B$16="",0,DATA!$B$16))</f>
      </c>
      <c r="E50" s="263" t="str">
        <f>Vertaling!$B$147</f>
      </c>
      <c r="F50" s="282">
        <f>IF($D$9=dropdowns!$B$180,IF(DATA!$B$16="",0,DATA!$B$16),IF(DATA!$B$45="",0,DATA!$B$45))</f>
      </c>
      <c r="G50" s="353"/>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353"/>
      <c r="BL50" s="353"/>
      <c r="BM50" s="353"/>
    </row>
    <row r="51" spans="1:65" customFormat="1" ht="7.5" customHeight="1">
      <c r="A51" s="236"/>
      <c r="B51" s="353"/>
      <c r="C51" s="263"/>
      <c r="D51" s="247"/>
      <c r="E51" s="263"/>
      <c r="F51" s="247"/>
      <c r="G51" s="237"/>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13"/>
      <c r="AL51" s="13"/>
      <c r="AM51" s="13"/>
      <c r="AN51" s="13"/>
      <c r="AO51" s="13"/>
      <c r="AP51" s="13"/>
      <c r="AQ51" s="13"/>
      <c r="AR51" s="13"/>
      <c r="AS51" s="13"/>
      <c r="AT51" s="13"/>
      <c r="AU51" s="13"/>
      <c r="AV51" s="13"/>
      <c r="AW51" s="13"/>
      <c r="AX51" s="14"/>
      <c r="AY51" s="14"/>
      <c r="AZ51" s="14"/>
      <c r="BA51" s="14"/>
      <c r="BB51" s="14"/>
      <c r="BC51" s="14"/>
      <c r="BD51" s="14"/>
      <c r="BE51" s="14"/>
      <c r="BF51" s="14"/>
      <c r="BG51" s="14"/>
      <c r="BH51" s="14"/>
      <c r="BI51" s="14"/>
      <c r="BJ51" s="14"/>
    </row>
    <row r="52" spans="1:65" s="1" customFormat="1" ht="12.75">
      <c r="A52" s="91" t="s">
        <v>4</v>
      </c>
      <c r="B52" s="353" t="str">
        <f>Vertaling!B55</f>
      </c>
      <c r="C52" s="263" t="str">
        <f>IF($D$17="","",Vertaling!$B$147)</f>
      </c>
      <c r="D52" s="282">
        <f>IF($D$9=dropdowns!$B$180,0,IF(DATA!$B$17="",0,DATA!$B$17))</f>
      </c>
      <c r="E52" s="263" t="str">
        <f>Vertaling!$B$147</f>
      </c>
      <c r="F52" s="282">
        <f>IF($D$9=dropdowns!$B$180,IF(DATA!$B$17="",0,DATA!$B$17),IF(DATA!$B$46="",0,DATA!$B$46))</f>
      </c>
      <c r="G52" s="353"/>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353"/>
      <c r="BL52" s="353"/>
      <c r="BM52" s="353"/>
    </row>
    <row r="53" spans="1:65" customFormat="1" ht="7.5" customHeight="1">
      <c r="A53" s="236"/>
      <c r="B53" s="353"/>
      <c r="C53" s="263"/>
      <c r="D53" s="247"/>
      <c r="E53" s="263"/>
      <c r="F53" s="247"/>
      <c r="G53" s="237"/>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13"/>
      <c r="AL53" s="13"/>
      <c r="AM53" s="13"/>
      <c r="AN53" s="13"/>
      <c r="AO53" s="13"/>
      <c r="AP53" s="13"/>
      <c r="AQ53" s="13"/>
      <c r="AR53" s="13"/>
      <c r="AS53" s="13"/>
      <c r="AT53" s="13"/>
      <c r="AU53" s="13"/>
      <c r="AV53" s="13"/>
      <c r="AW53" s="13"/>
      <c r="AX53" s="14"/>
      <c r="AY53" s="14"/>
      <c r="AZ53" s="14"/>
      <c r="BA53" s="14"/>
      <c r="BB53" s="14"/>
      <c r="BC53" s="14"/>
      <c r="BD53" s="14"/>
      <c r="BE53" s="14"/>
      <c r="BF53" s="14"/>
      <c r="BG53" s="14"/>
      <c r="BH53" s="14"/>
      <c r="BI53" s="14"/>
      <c r="BJ53" s="14"/>
    </row>
    <row r="54" spans="1:65" s="1" customFormat="1" ht="12.75">
      <c r="A54" s="91" t="s">
        <v>4</v>
      </c>
      <c r="B54" s="353" t="str">
        <f>Vertaling!B56</f>
      </c>
      <c r="C54" s="263" t="str">
        <f>IF($D$17="","",Vertaling!$B$147)</f>
      </c>
      <c r="D54" s="282">
        <f>IF($D$9=dropdowns!$B$180,0,IF(DATA!$B$18="",0,DATA!$B$18))</f>
      </c>
      <c r="E54" s="263" t="str">
        <f>Vertaling!$B$147</f>
      </c>
      <c r="F54" s="282">
        <f>IF($D$9=dropdowns!$B$180,IF(DATA!$B$18="",0,DATA!$B$18),IF(DATA!$B$47="",0,DATA!$B$47))</f>
      </c>
      <c r="G54" s="353"/>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353"/>
      <c r="BL54" s="353"/>
      <c r="BM54" s="353"/>
    </row>
    <row r="55" spans="1:65" customFormat="1" ht="7.5" customHeight="1">
      <c r="A55" s="236"/>
      <c r="B55" s="353"/>
      <c r="C55" s="263"/>
      <c r="D55" s="247"/>
      <c r="E55" s="263"/>
      <c r="F55" s="247"/>
      <c r="G55" s="237"/>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13"/>
      <c r="AL55" s="13"/>
      <c r="AM55" s="13"/>
      <c r="AN55" s="13"/>
      <c r="AO55" s="13"/>
      <c r="AP55" s="13"/>
      <c r="AQ55" s="13"/>
      <c r="AR55" s="13"/>
      <c r="AS55" s="13"/>
      <c r="AT55" s="13"/>
      <c r="AU55" s="13"/>
      <c r="AV55" s="13"/>
      <c r="AW55" s="13"/>
      <c r="AX55" s="14"/>
      <c r="AY55" s="14"/>
      <c r="AZ55" s="14"/>
      <c r="BA55" s="14"/>
      <c r="BB55" s="14"/>
      <c r="BC55" s="14"/>
      <c r="BD55" s="14"/>
      <c r="BE55" s="14"/>
      <c r="BF55" s="14"/>
      <c r="BG55" s="14"/>
      <c r="BH55" s="14"/>
      <c r="BI55" s="14"/>
      <c r="BJ55" s="14"/>
    </row>
    <row r="56" spans="1:65" s="1" customFormat="1" ht="12.75">
      <c r="A56" s="91" t="s">
        <v>4</v>
      </c>
      <c r="B56" s="353" t="str">
        <f>Vertaling!B57</f>
      </c>
      <c r="C56" s="263" t="str">
        <f>IF($D$17="","",Vertaling!$B$147)</f>
      </c>
      <c r="D56" s="282">
        <f>IF($D$9=dropdowns!$B$180,0,IF(DATA!$B$19="",0,DATA!$B$19))</f>
      </c>
      <c r="E56" s="263" t="str">
        <f>Vertaling!$B$147</f>
      </c>
      <c r="F56" s="282">
        <f>IF($D$9=dropdowns!$B$180,IF(DATA!$B$19="",0,DATA!$B$19),IF(DATA!$B$48="",0,DATA!$B$48))</f>
      </c>
      <c r="G56" s="353"/>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353"/>
      <c r="BL56" s="353"/>
      <c r="BM56" s="353"/>
    </row>
    <row r="57" spans="1:65" customFormat="1" ht="7.5" customHeight="1">
      <c r="A57" s="236"/>
      <c r="B57" s="353"/>
      <c r="C57" s="263"/>
      <c r="D57" s="247"/>
      <c r="E57" s="263"/>
      <c r="F57" s="247"/>
      <c r="G57" s="237"/>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13"/>
      <c r="AL57" s="13"/>
      <c r="AM57" s="13"/>
      <c r="AN57" s="13"/>
      <c r="AO57" s="13"/>
      <c r="AP57" s="13"/>
      <c r="AQ57" s="13"/>
      <c r="AR57" s="13"/>
      <c r="AS57" s="13"/>
      <c r="AT57" s="13"/>
      <c r="AU57" s="13"/>
      <c r="AV57" s="13"/>
      <c r="AW57" s="13"/>
      <c r="AX57" s="14"/>
      <c r="AY57" s="14"/>
      <c r="AZ57" s="14"/>
      <c r="BA57" s="14"/>
      <c r="BB57" s="14"/>
      <c r="BC57" s="14"/>
      <c r="BD57" s="14"/>
      <c r="BE57" s="14"/>
      <c r="BF57" s="14"/>
      <c r="BG57" s="14"/>
      <c r="BH57" s="14"/>
      <c r="BI57" s="14"/>
      <c r="BJ57" s="14"/>
    </row>
    <row r="58" spans="1:65" s="1" customFormat="1" ht="12.75">
      <c r="A58" s="91" t="s">
        <v>4</v>
      </c>
      <c r="B58" s="360" t="str">
        <f>Vertaling!B341</f>
      </c>
      <c r="C58" s="263" t="str">
        <f>IF($D$17="","",Vertaling!$B$147)</f>
      </c>
      <c r="D58" s="282">
        <f>IF($D$9=dropdowns!$B$180,0,IF(DATA!$B$19="",0,DATA!$B$19))</f>
      </c>
      <c r="E58" s="263" t="str">
        <f>Vertaling!$B$147</f>
      </c>
      <c r="F58" s="282">
        <f>IF($D$9=dropdowns!$B$180,IF(DATA!$B$19="",0,DATA!$B$19),IF(DATA!$B$48="",0,DATA!$B$48))</f>
      </c>
      <c r="G58" s="360"/>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360"/>
      <c r="BL58" s="360"/>
      <c r="BM58" s="360"/>
    </row>
    <row r="59" spans="1:65" customFormat="1" ht="7.5" customHeight="1">
      <c r="A59" s="236"/>
      <c r="B59" s="360"/>
      <c r="C59" s="263"/>
      <c r="D59" s="247"/>
      <c r="E59" s="263"/>
      <c r="F59" s="247"/>
      <c r="G59" s="237"/>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13"/>
      <c r="AL59" s="13"/>
      <c r="AM59" s="13"/>
      <c r="AN59" s="13"/>
      <c r="AO59" s="13"/>
      <c r="AP59" s="13"/>
      <c r="AQ59" s="13"/>
      <c r="AR59" s="13"/>
      <c r="AS59" s="13"/>
      <c r="AT59" s="13"/>
      <c r="AU59" s="13"/>
      <c r="AV59" s="13"/>
      <c r="AW59" s="13"/>
      <c r="AX59" s="14"/>
      <c r="AY59" s="14"/>
      <c r="AZ59" s="14"/>
      <c r="BA59" s="14"/>
      <c r="BB59" s="14"/>
      <c r="BC59" s="14"/>
      <c r="BD59" s="14"/>
      <c r="BE59" s="14"/>
      <c r="BF59" s="14"/>
      <c r="BG59" s="14"/>
      <c r="BH59" s="14"/>
      <c r="BI59" s="14"/>
      <c r="BJ59" s="14"/>
    </row>
    <row r="60" spans="1:65" s="1" customFormat="1" ht="12.75">
      <c r="A60" s="91" t="s">
        <v>4</v>
      </c>
      <c r="B60" s="353" t="str">
        <f>Vertaling!B58</f>
      </c>
      <c r="C60" s="263" t="str">
        <f>IF($D$17="","",Vertaling!$B$147)</f>
      </c>
      <c r="D60" s="282">
        <f>IF($D$9=dropdowns!$B$180,0,IF(DATA!$B$21="",0,DATA!$B$21))</f>
      </c>
      <c r="E60" s="263" t="str">
        <f>Vertaling!$B$147</f>
      </c>
      <c r="F60" s="282">
        <f>IF($D$9=dropdowns!$B$180,IF(DATA!$B$21="",0,DATA!$B$21),IF(DATA!$B$49="",0,DATA!$B$49))</f>
      </c>
      <c r="G60" s="353"/>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353"/>
      <c r="BL60" s="353"/>
      <c r="BM60" s="353"/>
    </row>
    <row r="61" spans="1:65" customFormat="1" ht="7.5" customHeight="1">
      <c r="A61" s="236"/>
      <c r="B61" s="353"/>
      <c r="C61" s="263"/>
      <c r="D61" s="247"/>
      <c r="E61" s="263"/>
      <c r="F61" s="247"/>
      <c r="G61" s="237"/>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13"/>
      <c r="AL61" s="13"/>
      <c r="AM61" s="13"/>
      <c r="AN61" s="13"/>
      <c r="AO61" s="13"/>
      <c r="AP61" s="13"/>
      <c r="AQ61" s="13"/>
      <c r="AR61" s="13"/>
      <c r="AS61" s="13"/>
      <c r="AT61" s="13"/>
      <c r="AU61" s="13"/>
      <c r="AV61" s="13"/>
      <c r="AW61" s="13"/>
      <c r="AX61" s="14"/>
      <c r="AY61" s="14"/>
      <c r="AZ61" s="14"/>
      <c r="BA61" s="14"/>
      <c r="BB61" s="14"/>
      <c r="BC61" s="14"/>
      <c r="BD61" s="14"/>
      <c r="BE61" s="14"/>
      <c r="BF61" s="14"/>
      <c r="BG61" s="14"/>
      <c r="BH61" s="14"/>
      <c r="BI61" s="14"/>
      <c r="BJ61" s="14"/>
    </row>
    <row r="62" spans="1:65" s="1" customFormat="1" ht="13.5" customHeight="1">
      <c r="A62" s="91" t="s">
        <v>4</v>
      </c>
      <c r="B62" s="353" t="str">
        <f>Vertaling!B59</f>
      </c>
      <c r="C62" s="263" t="str">
        <f>IF($D$17="","",Vertaling!$B$147)</f>
      </c>
      <c r="D62" s="282">
        <f>IF($D$9=dropdowns!$B$180,0,IF(DATA!$B$22="",0,DATA!$B$22))</f>
      </c>
      <c r="E62" s="263" t="str">
        <f>Vertaling!$B$147</f>
      </c>
      <c r="F62" s="279">
        <f>IF($D$9=dropdowns!$B$180,IF(DATA!$B$22="",0,DATA!$B$22),IF(DATA!$B$50="",0,DATA!$B$50))</f>
      </c>
      <c r="G62" s="353"/>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353"/>
      <c r="BL62" s="353"/>
      <c r="BM62" s="353"/>
    </row>
    <row r="63" spans="1:65" customFormat="1" ht="7.5" customHeight="1">
      <c r="A63" s="236"/>
      <c r="B63" s="353"/>
      <c r="C63" s="263"/>
      <c r="D63" s="247"/>
      <c r="E63" s="263"/>
      <c r="F63" s="247"/>
      <c r="G63" s="237"/>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13"/>
      <c r="AL63" s="13"/>
      <c r="AM63" s="13"/>
      <c r="AN63" s="13"/>
      <c r="AO63" s="13"/>
      <c r="AP63" s="13"/>
      <c r="AQ63" s="13"/>
      <c r="AR63" s="13"/>
      <c r="AS63" s="13"/>
      <c r="AT63" s="13"/>
      <c r="AU63" s="13"/>
      <c r="AV63" s="13"/>
      <c r="AW63" s="13"/>
      <c r="AX63" s="14"/>
      <c r="AY63" s="14"/>
      <c r="AZ63" s="14"/>
      <c r="BA63" s="14"/>
      <c r="BB63" s="14"/>
      <c r="BC63" s="14"/>
      <c r="BD63" s="14"/>
      <c r="BE63" s="14"/>
      <c r="BF63" s="14"/>
      <c r="BG63" s="14"/>
      <c r="BH63" s="14"/>
      <c r="BI63" s="14"/>
      <c r="BJ63" s="14"/>
    </row>
    <row r="64" spans="1:65" s="1" customFormat="1" ht="12.75">
      <c r="A64" s="91" t="s">
        <v>4</v>
      </c>
      <c r="B64" s="353" t="str">
        <f>Vertaling!B60</f>
      </c>
      <c r="C64" s="263" t="str">
        <f>IF($D$17="","",Vertaling!$B$147)</f>
      </c>
      <c r="D64" s="282">
        <f>IF($D$9=dropdowns!$B$180,0,IF(DATA!$B$23="",0,DATA!$B$23))</f>
      </c>
      <c r="E64" s="263" t="str">
        <f>Vertaling!$B$147</f>
      </c>
      <c r="F64" s="282">
        <f>IF($D$9=dropdowns!$B$180,IF(DATA!$B$23="",0,DATA!$B$23),IF(DATA!$B$51="",0,DATA!$B$51))</f>
      </c>
      <c r="G64" s="353"/>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353"/>
      <c r="BL64" s="353"/>
      <c r="BM64" s="353"/>
    </row>
    <row r="65" spans="1:65" customFormat="1" ht="7.5" customHeight="1">
      <c r="A65" s="236"/>
      <c r="B65" s="353"/>
      <c r="C65" s="263"/>
      <c r="D65" s="247"/>
      <c r="E65" s="263"/>
      <c r="F65" s="247"/>
      <c r="G65" s="237"/>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13"/>
      <c r="AL65" s="13"/>
      <c r="AM65" s="13"/>
      <c r="AN65" s="13"/>
      <c r="AO65" s="13"/>
      <c r="AP65" s="13"/>
      <c r="AQ65" s="13"/>
      <c r="AR65" s="13"/>
      <c r="AS65" s="13"/>
      <c r="AT65" s="13"/>
      <c r="AU65" s="13"/>
      <c r="AV65" s="13"/>
      <c r="AW65" s="13"/>
      <c r="AX65" s="14"/>
      <c r="AY65" s="14"/>
      <c r="AZ65" s="14"/>
      <c r="BA65" s="14"/>
      <c r="BB65" s="14"/>
      <c r="BC65" s="14"/>
      <c r="BD65" s="14"/>
      <c r="BE65" s="14"/>
      <c r="BF65" s="14"/>
      <c r="BG65" s="14"/>
      <c r="BH65" s="14"/>
      <c r="BI65" s="14"/>
      <c r="BJ65" s="14"/>
    </row>
    <row r="66" spans="1:65" s="1" customFormat="1" ht="12.75">
      <c r="A66" s="91" t="s">
        <v>4</v>
      </c>
      <c r="B66" s="353" t="str">
        <f>Vertaling!B61</f>
      </c>
      <c r="C66" s="263" t="str">
        <f>IF($D$17="","",Vertaling!$B$147)</f>
      </c>
      <c r="D66" s="282">
        <f>IF($D$9=dropdowns!$B$180,0,IF(DATA!$B$24="",0,DATA!$B$24))</f>
      </c>
      <c r="E66" s="263" t="str">
        <f>Vertaling!$B$147</f>
      </c>
      <c r="F66" s="282">
        <f>IF($D$9=dropdowns!$B$180,IF(DATA!$B$24="",0,DATA!$B$24),IF(DATA!$B$52="",0,DATA!$B$52))</f>
      </c>
      <c r="G66" s="353"/>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246"/>
      <c r="AJ66" s="246"/>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353"/>
      <c r="BL66" s="353"/>
      <c r="BM66" s="353"/>
    </row>
    <row r="67" spans="1:65" s="1" customFormat="1" ht="12.75">
      <c r="A67" s="70"/>
      <c r="B67" s="287"/>
      <c r="C67" s="288"/>
      <c r="D67" s="289"/>
      <c r="E67" s="288"/>
      <c r="F67" s="289"/>
      <c r="G67" s="353"/>
      <c r="H67" s="246"/>
      <c r="I67" s="246"/>
      <c r="J67" s="246"/>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246"/>
      <c r="AJ67" s="246"/>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353"/>
      <c r="BL67" s="353"/>
      <c r="BM67" s="353"/>
    </row>
    <row r="68" spans="1:65" s="1" customFormat="1" ht="12.75">
      <c r="A68" s="70"/>
      <c r="B68" s="353"/>
      <c r="C68" s="265"/>
      <c r="D68" s="261" t="str">
        <f>$D$17</f>
      </c>
      <c r="E68" s="265"/>
      <c r="F68" s="261" t="str">
        <f>$F$17</f>
      </c>
      <c r="G68" s="353"/>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6"/>
      <c r="AF68" s="246"/>
      <c r="AG68" s="246"/>
      <c r="AH68" s="246"/>
      <c r="AI68" s="246"/>
      <c r="AJ68" s="246"/>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353"/>
      <c r="BL68" s="353"/>
      <c r="BM68" s="353"/>
    </row>
    <row r="69" spans="1:65" customFormat="1" ht="29.25" customHeight="1">
      <c r="A69" s="91"/>
      <c r="B69" s="353" t="str">
        <f>Vertaling!B62</f>
      </c>
      <c r="C69" s="263" t="str">
        <f>IF($D$17="","",Vertaling!$B$150)</f>
      </c>
      <c r="D69" s="286">
        <f>D35-SUM($D$42:$D$66)</f>
      </c>
      <c r="E69" s="263" t="str">
        <f>Vertaling!$B$150</f>
      </c>
      <c r="F69" s="286">
        <f>F35-SUM($F$42:$F$66)</f>
      </c>
      <c r="G69" s="1"/>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3"/>
      <c r="AL69" s="13"/>
      <c r="AM69" s="13"/>
      <c r="AN69" s="13"/>
      <c r="AO69" s="13"/>
      <c r="AP69" s="13"/>
      <c r="AQ69" s="13"/>
      <c r="AR69" s="13"/>
      <c r="AS69" s="13"/>
      <c r="AT69" s="13"/>
      <c r="AU69" s="13"/>
      <c r="AV69" s="13"/>
      <c r="AW69" s="13"/>
      <c r="AX69" s="14"/>
      <c r="AY69" s="14"/>
      <c r="AZ69" s="14"/>
      <c r="BA69" s="14"/>
      <c r="BB69" s="14"/>
      <c r="BC69" s="14"/>
      <c r="BD69" s="14"/>
      <c r="BE69" s="14"/>
      <c r="BF69" s="14"/>
      <c r="BG69" s="14"/>
      <c r="BH69" s="14"/>
      <c r="BI69" s="14"/>
      <c r="BJ69" s="14"/>
    </row>
    <row r="70" spans="1:65" customFormat="1" ht="7.5" customHeight="1">
      <c r="A70" s="236"/>
      <c r="B70" s="353"/>
      <c r="C70" s="263"/>
      <c r="D70" s="248"/>
      <c r="E70" s="263"/>
      <c r="F70" s="248"/>
      <c r="G70" s="237"/>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13"/>
      <c r="AL70" s="13"/>
      <c r="AM70" s="13"/>
      <c r="AN70" s="13"/>
      <c r="AO70" s="13"/>
      <c r="AP70" s="13"/>
      <c r="AQ70" s="13"/>
      <c r="AR70" s="13"/>
      <c r="AS70" s="13"/>
      <c r="AT70" s="13"/>
      <c r="AU70" s="13"/>
      <c r="AV70" s="13"/>
      <c r="AW70" s="13"/>
      <c r="AX70" s="14"/>
      <c r="AY70" s="14"/>
      <c r="AZ70" s="14"/>
      <c r="BA70" s="14"/>
      <c r="BB70" s="14"/>
      <c r="BC70" s="14"/>
      <c r="BD70" s="14"/>
      <c r="BE70" s="14"/>
      <c r="BF70" s="14"/>
      <c r="BG70" s="14"/>
      <c r="BH70" s="14"/>
      <c r="BI70" s="14"/>
      <c r="BJ70" s="14"/>
    </row>
    <row r="71" spans="1:65" customFormat="1" ht="40.5" customHeight="1">
      <c r="A71" s="91"/>
      <c r="B71" s="353" t="str">
        <f>Vertaling!B63</f>
      </c>
      <c r="C71" s="263" t="str">
        <f>IF($D$17="","",Vertaling!$B$150)</f>
      </c>
      <c r="D71" s="286">
        <f>IF(SUM($D$42:$D$66)-D37&lt;0,0,SUM($D$42:$D$66)-D37)</f>
      </c>
      <c r="E71" s="263" t="str">
        <f>Vertaling!$B$150</f>
      </c>
      <c r="F71" s="286">
        <f>IF(SUM($F$42:$F$66)-F37&lt;0,0,SUM($F$42:$F$66)-F37)</f>
      </c>
      <c r="G71" s="1"/>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0"/>
      <c r="AI71" s="240"/>
      <c r="AJ71" s="240"/>
      <c r="AK71" s="13"/>
      <c r="AL71" s="13"/>
      <c r="AM71" s="13"/>
      <c r="AN71" s="13"/>
      <c r="AO71" s="13"/>
      <c r="AP71" s="13"/>
      <c r="AQ71" s="13"/>
      <c r="AR71" s="13"/>
      <c r="AS71" s="13"/>
      <c r="AT71" s="13"/>
      <c r="AU71" s="13"/>
      <c r="AV71" s="13"/>
      <c r="AW71" s="13"/>
      <c r="AX71" s="14"/>
      <c r="AY71" s="14"/>
      <c r="AZ71" s="14"/>
      <c r="BA71" s="14"/>
      <c r="BB71" s="14"/>
      <c r="BC71" s="14"/>
      <c r="BD71" s="14"/>
      <c r="BE71" s="14"/>
      <c r="BF71" s="14"/>
      <c r="BG71" s="14"/>
      <c r="BH71" s="14"/>
      <c r="BI71" s="14"/>
      <c r="BJ71" s="14"/>
    </row>
    <row r="72" spans="1:65" customFormat="1" ht="12.75">
      <c r="A72" s="91"/>
      <c r="B72" s="353"/>
      <c r="C72" s="271"/>
      <c r="D72" s="262">
        <f>IF(SUM($D$42:$D$66)-D37+IF(dropdowns!$H$157&gt;0,D22,0)&lt;0,0,SUM($D$42:$D$66)-D37+IF(dropdowns!$G$157&gt;0,D22,0))</f>
      </c>
      <c r="E72" s="269"/>
      <c r="F72" s="262">
        <f>IF(SUM($F$42:$F$66)-F37+IF(dropdowns!$H$157&gt;0,F22,0)&lt;0,0,SUM($F$42:$F$66)-F37+IF(dropdowns!$H$157&gt;0,F22,0))</f>
      </c>
      <c r="G72" s="1"/>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13"/>
      <c r="AL72" s="13"/>
      <c r="AM72" s="13"/>
      <c r="AN72" s="13"/>
      <c r="AO72" s="13"/>
      <c r="AP72" s="13"/>
      <c r="AQ72" s="13"/>
      <c r="AR72" s="13"/>
      <c r="AS72" s="13"/>
      <c r="AT72" s="13"/>
      <c r="AU72" s="13"/>
      <c r="AV72" s="13"/>
      <c r="AW72" s="13"/>
      <c r="AX72" s="14"/>
      <c r="AY72" s="14"/>
      <c r="AZ72" s="14"/>
      <c r="BA72" s="14"/>
      <c r="BB72" s="14"/>
      <c r="BC72" s="14"/>
      <c r="BD72" s="14"/>
      <c r="BE72" s="14"/>
      <c r="BF72" s="14"/>
      <c r="BG72" s="14"/>
      <c r="BH72" s="14"/>
      <c r="BI72" s="14"/>
      <c r="BJ72" s="14"/>
    </row>
    <row r="73" spans="1:65" customFormat="1" ht="31.5" hidden="1" customHeight="1">
      <c r="A73" s="412"/>
      <c r="B73" s="413" t="str">
        <f>Vertaling!B64</f>
      </c>
      <c r="C73" s="414" t="str">
        <f>IF($D$17="","",Vertaling!$B$147)</f>
      </c>
      <c r="D73" s="415">
        <f>IF($D$9=dropdowns!$B$180,0,IF(DATA!$B$199="",0,DATA!$B$199))</f>
      </c>
      <c r="E73" s="414" t="str">
        <f>Vertaling!$B$65</f>
      </c>
      <c r="F73" s="415">
        <v>0</v>
      </c>
      <c r="G73" s="1"/>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13"/>
      <c r="AL73" s="13"/>
      <c r="AM73" s="13"/>
      <c r="AN73" s="13"/>
      <c r="AO73" s="13"/>
      <c r="AP73" s="13"/>
      <c r="AQ73" s="13"/>
      <c r="AR73" s="13"/>
      <c r="AS73" s="13"/>
      <c r="AT73" s="13"/>
      <c r="AU73" s="13"/>
      <c r="AV73" s="13"/>
      <c r="AW73" s="13"/>
      <c r="AX73" s="14"/>
      <c r="AY73" s="14"/>
      <c r="AZ73" s="14"/>
      <c r="BA73" s="14"/>
      <c r="BB73" s="14"/>
      <c r="BC73" s="14"/>
      <c r="BD73" s="14"/>
      <c r="BE73" s="14"/>
      <c r="BF73" s="14"/>
      <c r="BG73" s="14"/>
      <c r="BH73" s="14"/>
      <c r="BI73" s="14"/>
      <c r="BJ73" s="14"/>
    </row>
    <row r="74" spans="1:65" customFormat="1" ht="12.75">
      <c r="A74" s="91"/>
      <c r="B74" s="287"/>
      <c r="C74" s="290"/>
      <c r="D74" s="291"/>
      <c r="E74" s="290"/>
      <c r="F74" s="291"/>
      <c r="G74" s="1"/>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3"/>
      <c r="AL74" s="13"/>
      <c r="AM74" s="13"/>
      <c r="AN74" s="13"/>
      <c r="AO74" s="13"/>
      <c r="AP74" s="13"/>
      <c r="AQ74" s="13"/>
      <c r="AR74" s="13"/>
      <c r="AS74" s="13"/>
      <c r="AT74" s="13"/>
      <c r="AU74" s="13"/>
      <c r="AV74" s="13"/>
      <c r="AW74" s="13"/>
      <c r="AX74" s="14"/>
      <c r="AY74" s="14"/>
      <c r="AZ74" s="14"/>
      <c r="BA74" s="14"/>
      <c r="BB74" s="14"/>
      <c r="BC74" s="14"/>
      <c r="BD74" s="14"/>
      <c r="BE74" s="14"/>
      <c r="BF74" s="14"/>
      <c r="BG74" s="14"/>
      <c r="BH74" s="14"/>
      <c r="BI74" s="14"/>
      <c r="BJ74" s="14"/>
    </row>
    <row r="75" spans="1:65" customFormat="1" ht="12.75">
      <c r="A75" s="70"/>
      <c r="B75" s="353"/>
      <c r="C75" s="265"/>
      <c r="D75" s="1"/>
      <c r="E75" s="265"/>
      <c r="F75" s="1"/>
      <c r="G75" s="1"/>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13"/>
      <c r="AL75" s="13"/>
      <c r="AM75" s="13"/>
      <c r="AN75" s="13"/>
      <c r="AO75" s="13"/>
      <c r="AP75" s="13"/>
      <c r="AQ75" s="13"/>
      <c r="AR75" s="13"/>
      <c r="AS75" s="13"/>
      <c r="AT75" s="13"/>
      <c r="AU75" s="13"/>
      <c r="AV75" s="13"/>
      <c r="AW75" s="13"/>
      <c r="AX75" s="14"/>
      <c r="AY75" s="14"/>
      <c r="AZ75" s="14"/>
      <c r="BA75" s="14"/>
      <c r="BB75" s="14"/>
      <c r="BC75" s="14"/>
      <c r="BD75" s="14"/>
      <c r="BE75" s="14"/>
      <c r="BF75" s="14"/>
      <c r="BG75" s="14"/>
      <c r="BH75" s="14"/>
      <c r="BI75" s="14"/>
      <c r="BJ75" s="14"/>
    </row>
    <row r="76" spans="1:65" customFormat="1" ht="12.75">
      <c r="A76" s="70"/>
      <c r="B76" s="234" t="str">
        <f>Vertaling!B66</f>
      </c>
      <c r="C76" s="268"/>
      <c r="D76" s="261" t="str">
        <f>$D$17</f>
      </c>
      <c r="E76" s="265"/>
      <c r="F76" s="261" t="str">
        <f>$F$17</f>
      </c>
      <c r="G76" s="1"/>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13"/>
      <c r="AL76" s="13"/>
      <c r="AM76" s="13"/>
      <c r="AN76" s="13"/>
      <c r="AO76" s="13"/>
      <c r="AP76" s="13"/>
      <c r="AQ76" s="13"/>
      <c r="AR76" s="13"/>
      <c r="AS76" s="13"/>
      <c r="AT76" s="13"/>
      <c r="AU76" s="13"/>
      <c r="AV76" s="13"/>
      <c r="AW76" s="13"/>
      <c r="AX76" s="14"/>
      <c r="AY76" s="14"/>
      <c r="AZ76" s="14"/>
      <c r="BA76" s="14"/>
      <c r="BB76" s="14"/>
      <c r="BC76" s="14"/>
      <c r="BD76" s="14"/>
      <c r="BE76" s="14"/>
      <c r="BF76" s="14"/>
      <c r="BG76" s="14"/>
      <c r="BH76" s="14"/>
      <c r="BI76" s="14"/>
      <c r="BJ76" s="14"/>
    </row>
    <row r="77" spans="1:65" customFormat="1" ht="12.75">
      <c r="A77" s="91" t="str">
        <f>CONCATENATE(LEFT(A41,2)+1,".")</f>
      </c>
      <c r="B77" s="353" t="str">
        <f>Vertaling!B67</f>
      </c>
      <c r="C77" s="263" t="str">
        <f>IF($D$17="","",Vertaling!$B$145)</f>
      </c>
      <c r="D77" s="283" t="str">
        <f>IF($D$9=dropdowns!$B$180,dropdowns!$B$3,IF(DATA!$B$25="",dropdowns!$B$3,DATA!$B$25))</f>
      </c>
      <c r="E77" s="263" t="str">
        <f>Vertaling!$B$145</f>
      </c>
      <c r="F77" s="283" t="str">
        <f>IF($D$9=dropdowns!$B$180,IF(DATA!$B$25="",dropdowns!$B$3,DATA!$B$25),IF(DATA!$B$53="",dropdowns!$B$3,DATA!$B$53))</f>
      </c>
      <c r="G77" s="244"/>
      <c r="H77" s="240"/>
      <c r="I77" s="240"/>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13"/>
      <c r="AL77" s="13"/>
      <c r="AM77" s="13"/>
      <c r="AN77" s="13"/>
      <c r="AO77" s="13"/>
      <c r="AP77" s="13"/>
      <c r="AQ77" s="13"/>
      <c r="AR77" s="13"/>
      <c r="AS77" s="13"/>
      <c r="AT77" s="13"/>
      <c r="AU77" s="13"/>
      <c r="AV77" s="13"/>
      <c r="AW77" s="13"/>
      <c r="AX77" s="14"/>
      <c r="AY77" s="14"/>
      <c r="AZ77" s="14"/>
      <c r="BA77" s="14"/>
      <c r="BB77" s="14"/>
      <c r="BC77" s="14"/>
      <c r="BD77" s="14"/>
      <c r="BE77" s="14"/>
      <c r="BF77" s="14"/>
      <c r="BG77" s="14"/>
      <c r="BH77" s="14"/>
      <c r="BI77" s="14"/>
      <c r="BJ77" s="14"/>
    </row>
    <row r="78" spans="1:65" customFormat="1" ht="7.5" customHeight="1">
      <c r="A78" s="236"/>
      <c r="B78" s="353"/>
      <c r="C78" s="263"/>
      <c r="D78" s="247"/>
      <c r="E78" s="263"/>
      <c r="F78" s="247"/>
      <c r="G78" s="237"/>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13"/>
      <c r="AL78" s="13"/>
      <c r="AM78" s="13"/>
      <c r="AN78" s="13"/>
      <c r="AO78" s="13"/>
      <c r="AP78" s="13"/>
      <c r="AQ78" s="13"/>
      <c r="AR78" s="13"/>
      <c r="AS78" s="13"/>
      <c r="AT78" s="13"/>
      <c r="AU78" s="13"/>
      <c r="AV78" s="13"/>
      <c r="AW78" s="13"/>
      <c r="AX78" s="14"/>
      <c r="AY78" s="14"/>
      <c r="AZ78" s="14"/>
      <c r="BA78" s="14"/>
      <c r="BB78" s="14"/>
      <c r="BC78" s="14"/>
      <c r="BD78" s="14"/>
      <c r="BE78" s="14"/>
      <c r="BF78" s="14"/>
      <c r="BG78" s="14"/>
      <c r="BH78" s="14"/>
      <c r="BI78" s="14"/>
      <c r="BJ78" s="14"/>
    </row>
    <row r="79" spans="1:65" customFormat="1" ht="12.75">
      <c r="A79" s="91" t="str">
        <f>CONCATENATE(LEFT(A77,2)+1,".")</f>
      </c>
      <c r="B79" s="353" t="str">
        <f>Vertaling!B68</f>
      </c>
      <c r="C79" s="263" t="str">
        <f>IF($D$17="","",Vertaling!$B$147)</f>
      </c>
      <c r="D79" s="282">
        <f>IF($D$9=dropdowns!$B$180,0,IF(DATA!$B$26="",0,DATA!$B$26))</f>
      </c>
      <c r="E79" s="263" t="str">
        <f>Vertaling!$B$147</f>
      </c>
      <c r="F79" s="282">
        <f>IF($D$9=dropdowns!$B$180,IF(DATA!$B$26="",0,DATA!$B$26),IF(DATA!$B$54="",0,DATA!$B$54))</f>
      </c>
      <c r="G79" s="1"/>
      <c r="H79" s="240"/>
      <c r="I79" s="240"/>
      <c r="J79" s="240"/>
      <c r="K79" s="240"/>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13"/>
      <c r="AL79" s="13"/>
      <c r="AM79" s="13"/>
      <c r="AN79" s="13"/>
      <c r="AO79" s="13"/>
      <c r="AP79" s="13"/>
      <c r="AQ79" s="13"/>
      <c r="AR79" s="13"/>
      <c r="AS79" s="13"/>
      <c r="AT79" s="13"/>
      <c r="AU79" s="13"/>
      <c r="AV79" s="13"/>
      <c r="AW79" s="13"/>
      <c r="AX79" s="14"/>
      <c r="AY79" s="14"/>
      <c r="AZ79" s="14"/>
      <c r="BA79" s="14"/>
      <c r="BB79" s="14"/>
      <c r="BC79" s="14"/>
      <c r="BD79" s="14"/>
      <c r="BE79" s="14"/>
      <c r="BF79" s="14"/>
      <c r="BG79" s="14"/>
      <c r="BH79" s="14"/>
      <c r="BI79" s="14"/>
      <c r="BJ79" s="14"/>
    </row>
    <row r="80" spans="1:65" customFormat="1" ht="7.5" customHeight="1">
      <c r="A80" s="236"/>
      <c r="B80" s="353"/>
      <c r="C80" s="263"/>
      <c r="D80" s="247"/>
      <c r="E80" s="263"/>
      <c r="F80" s="247"/>
      <c r="G80" s="237"/>
      <c r="H80" s="240"/>
      <c r="I80" s="240"/>
      <c r="J80" s="240"/>
      <c r="K80" s="240"/>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13"/>
      <c r="AL80" s="13"/>
      <c r="AM80" s="13"/>
      <c r="AN80" s="13"/>
      <c r="AO80" s="13"/>
      <c r="AP80" s="13"/>
      <c r="AQ80" s="13"/>
      <c r="AR80" s="13"/>
      <c r="AS80" s="13"/>
      <c r="AT80" s="13"/>
      <c r="AU80" s="13"/>
      <c r="AV80" s="13"/>
      <c r="AW80" s="13"/>
      <c r="AX80" s="14"/>
      <c r="AY80" s="14"/>
      <c r="AZ80" s="14"/>
      <c r="BA80" s="14"/>
      <c r="BB80" s="14"/>
      <c r="BC80" s="14"/>
      <c r="BD80" s="14"/>
      <c r="BE80" s="14"/>
      <c r="BF80" s="14"/>
      <c r="BG80" s="14"/>
      <c r="BH80" s="14"/>
      <c r="BI80" s="14"/>
      <c r="BJ80" s="14"/>
    </row>
    <row r="81" spans="1:62" customFormat="1" ht="12.75">
      <c r="A81" s="91" t="str">
        <f>CONCATENATE(LEFT(A79,2)+1,".")</f>
      </c>
      <c r="B81" s="353" t="str">
        <f>Vertaling!B69</f>
      </c>
      <c r="C81" s="263" t="str">
        <f>IF($D$17="","",Vertaling!$B$147)</f>
      </c>
      <c r="D81" s="282">
        <f>IF($D$9=dropdowns!$B$180,0,IF(DATA!$B$27="",0,DATA!$B$27))</f>
      </c>
      <c r="E81" s="263" t="str">
        <f>Vertaling!$B$147</f>
      </c>
      <c r="F81" s="282">
        <f>IF($D$9=dropdowns!$B$180,IF(DATA!$B$27="",0,DATA!$B$27),IF(DATA!$B$55="",0,DATA!$B$55))</f>
      </c>
      <c r="G81" s="1"/>
      <c r="H81" s="240"/>
      <c r="I81" s="240"/>
      <c r="J81" s="240"/>
      <c r="K81" s="240"/>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13"/>
      <c r="AL81" s="13"/>
      <c r="AM81" s="13"/>
      <c r="AN81" s="13"/>
      <c r="AO81" s="13"/>
      <c r="AP81" s="13"/>
      <c r="AQ81" s="13"/>
      <c r="AR81" s="13"/>
      <c r="AS81" s="13"/>
      <c r="AT81" s="13"/>
      <c r="AU81" s="13"/>
      <c r="AV81" s="13"/>
      <c r="AW81" s="13"/>
      <c r="AX81" s="14"/>
      <c r="AY81" s="14"/>
      <c r="AZ81" s="14"/>
      <c r="BA81" s="14"/>
      <c r="BB81" s="14"/>
      <c r="BC81" s="14"/>
      <c r="BD81" s="14"/>
      <c r="BE81" s="14"/>
      <c r="BF81" s="14"/>
      <c r="BG81" s="14"/>
      <c r="BH81" s="14"/>
      <c r="BI81" s="14"/>
      <c r="BJ81" s="14"/>
    </row>
    <row r="82" spans="1:62" customFormat="1" ht="7.5" customHeight="1">
      <c r="A82" s="236"/>
      <c r="B82" s="353"/>
      <c r="C82" s="263"/>
      <c r="D82" s="247"/>
      <c r="E82" s="263"/>
      <c r="F82" s="247"/>
      <c r="G82" s="237"/>
      <c r="H82" s="240"/>
      <c r="I82" s="240"/>
      <c r="J82" s="240"/>
      <c r="K82" s="240"/>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13"/>
      <c r="AL82" s="13"/>
      <c r="AM82" s="13"/>
      <c r="AN82" s="13"/>
      <c r="AO82" s="13"/>
      <c r="AP82" s="13"/>
      <c r="AQ82" s="13"/>
      <c r="AR82" s="13"/>
      <c r="AS82" s="13"/>
      <c r="AT82" s="13"/>
      <c r="AU82" s="13"/>
      <c r="AV82" s="13"/>
      <c r="AW82" s="13"/>
      <c r="AX82" s="14"/>
      <c r="AY82" s="14"/>
      <c r="AZ82" s="14"/>
      <c r="BA82" s="14"/>
      <c r="BB82" s="14"/>
      <c r="BC82" s="14"/>
      <c r="BD82" s="14"/>
      <c r="BE82" s="14"/>
      <c r="BF82" s="14"/>
      <c r="BG82" s="14"/>
      <c r="BH82" s="14"/>
      <c r="BI82" s="14"/>
      <c r="BJ82" s="14"/>
    </row>
    <row r="83" spans="1:62" customFormat="1" ht="12.75">
      <c r="A83" s="91" t="str">
        <f>CONCATENATE(LEFT(A81,2)+1,".")</f>
      </c>
      <c r="B83" s="353" t="str">
        <f>Vertaling!B70</f>
      </c>
      <c r="C83" s="263" t="str">
        <f>IF($D$17="","",Vertaling!$B$147)</f>
      </c>
      <c r="D83" s="279">
        <f>IF($D$9=dropdowns!$B$180,0,IF(DATA!$B$28="",0,DATA!$B$28))</f>
      </c>
      <c r="E83" s="263" t="str">
        <f>Vertaling!$B$147</f>
      </c>
      <c r="F83" s="279">
        <f>IF($D$9=dropdowns!$B$180,IF(DATA!$B$28="",0,DATA!$B$28),IF(DATA!$B$56="",0,DATA!$B$56))</f>
      </c>
      <c r="G83" s="1"/>
      <c r="H83" s="240"/>
      <c r="I83" s="240"/>
      <c r="J83" s="240"/>
      <c r="K83" s="240"/>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13"/>
      <c r="AL83" s="13"/>
      <c r="AM83" s="13"/>
      <c r="AN83" s="13"/>
      <c r="AO83" s="13"/>
      <c r="AP83" s="13"/>
      <c r="AQ83" s="13"/>
      <c r="AR83" s="13"/>
      <c r="AS83" s="13"/>
      <c r="AT83" s="13"/>
      <c r="AU83" s="13"/>
      <c r="AV83" s="13"/>
      <c r="AW83" s="13"/>
      <c r="AX83" s="14"/>
      <c r="AY83" s="14"/>
      <c r="AZ83" s="14"/>
      <c r="BA83" s="14"/>
      <c r="BB83" s="14"/>
      <c r="BC83" s="14"/>
      <c r="BD83" s="14"/>
      <c r="BE83" s="14"/>
      <c r="BF83" s="14"/>
      <c r="BG83" s="14"/>
      <c r="BH83" s="14"/>
      <c r="BI83" s="14"/>
      <c r="BJ83" s="14"/>
    </row>
    <row r="84" spans="1:62" customFormat="1" ht="7.5" customHeight="1">
      <c r="A84" s="236"/>
      <c r="B84" s="353"/>
      <c r="C84" s="263"/>
      <c r="D84" s="247"/>
      <c r="E84" s="263"/>
      <c r="F84" s="247"/>
      <c r="G84" s="237"/>
      <c r="H84" s="240"/>
      <c r="I84" s="240"/>
      <c r="J84" s="240"/>
      <c r="K84" s="240"/>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13"/>
      <c r="AL84" s="13"/>
      <c r="AM84" s="13"/>
      <c r="AN84" s="13"/>
      <c r="AO84" s="13"/>
      <c r="AP84" s="13"/>
      <c r="AQ84" s="13"/>
      <c r="AR84" s="13"/>
      <c r="AS84" s="13"/>
      <c r="AT84" s="13"/>
      <c r="AU84" s="13"/>
      <c r="AV84" s="13"/>
      <c r="AW84" s="13"/>
      <c r="AX84" s="14"/>
      <c r="AY84" s="14"/>
      <c r="AZ84" s="14"/>
      <c r="BA84" s="14"/>
      <c r="BB84" s="14"/>
      <c r="BC84" s="14"/>
      <c r="BD84" s="14"/>
      <c r="BE84" s="14"/>
      <c r="BF84" s="14"/>
      <c r="BG84" s="14"/>
      <c r="BH84" s="14"/>
      <c r="BI84" s="14"/>
      <c r="BJ84" s="14"/>
    </row>
    <row r="85" spans="1:62" customFormat="1" ht="12.75">
      <c r="A85" s="91" t="str">
        <f>CONCATENATE(LEFT(A83,2)+1,".")</f>
      </c>
      <c r="B85" s="353" t="str">
        <f>Vertaling!B71</f>
      </c>
      <c r="C85" s="263" t="str">
        <f>IF($D$17="","",Vertaling!$B$147)</f>
      </c>
      <c r="D85" s="282">
        <f>IF($D$9=dropdowns!$B$180,0,IF(DATA!$B$29="",0,DATA!$B$29))</f>
      </c>
      <c r="E85" s="263" t="str">
        <f>Vertaling!$B$147</f>
      </c>
      <c r="F85" s="282">
        <f>IF($D$9=dropdowns!$B$180,IF(DATA!$B$29="",0,DATA!$B$29),IF(DATA!$B$57="",0,DATA!$B$57))</f>
      </c>
      <c r="G85" s="1"/>
      <c r="H85" s="240"/>
      <c r="I85" s="240"/>
      <c r="J85" s="240"/>
      <c r="K85" s="240"/>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13"/>
      <c r="AL85" s="13"/>
      <c r="AM85" s="13"/>
      <c r="AN85" s="13"/>
      <c r="AO85" s="13"/>
      <c r="AP85" s="13"/>
      <c r="AQ85" s="13"/>
      <c r="AR85" s="13"/>
      <c r="AS85" s="13"/>
      <c r="AT85" s="13"/>
      <c r="AU85" s="13"/>
      <c r="AV85" s="13"/>
      <c r="AW85" s="13"/>
      <c r="AX85" s="14"/>
      <c r="AY85" s="14"/>
      <c r="AZ85" s="14"/>
      <c r="BA85" s="14"/>
      <c r="BB85" s="14"/>
      <c r="BC85" s="14"/>
      <c r="BD85" s="14"/>
      <c r="BE85" s="14"/>
      <c r="BF85" s="14"/>
      <c r="BG85" s="14"/>
      <c r="BH85" s="14"/>
      <c r="BI85" s="14"/>
      <c r="BJ85" s="14"/>
    </row>
    <row r="86" spans="1:62" customFormat="1" ht="7.5" customHeight="1">
      <c r="A86" s="236"/>
      <c r="B86" s="353"/>
      <c r="C86" s="263"/>
      <c r="D86" s="247"/>
      <c r="E86" s="263"/>
      <c r="F86" s="247"/>
      <c r="G86" s="237"/>
      <c r="H86" s="240"/>
      <c r="I86" s="240"/>
      <c r="J86" s="240"/>
      <c r="K86" s="240"/>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13"/>
      <c r="AL86" s="13"/>
      <c r="AM86" s="13"/>
      <c r="AN86" s="13"/>
      <c r="AO86" s="13"/>
      <c r="AP86" s="13"/>
      <c r="AQ86" s="13"/>
      <c r="AR86" s="13"/>
      <c r="AS86" s="13"/>
      <c r="AT86" s="13"/>
      <c r="AU86" s="13"/>
      <c r="AV86" s="13"/>
      <c r="AW86" s="13"/>
      <c r="AX86" s="14"/>
      <c r="AY86" s="14"/>
      <c r="AZ86" s="14"/>
      <c r="BA86" s="14"/>
      <c r="BB86" s="14"/>
      <c r="BC86" s="14"/>
      <c r="BD86" s="14"/>
      <c r="BE86" s="14"/>
      <c r="BF86" s="14"/>
      <c r="BG86" s="14"/>
      <c r="BH86" s="14"/>
      <c r="BI86" s="14"/>
      <c r="BJ86" s="14"/>
    </row>
    <row r="87" spans="1:62" customFormat="1" ht="30" customHeight="1">
      <c r="A87" s="91" t="str">
        <f>CONCATENATE(LEFT(A85,2)+1,".")</f>
      </c>
      <c r="B87" s="71" t="str">
        <f>Vertaling!B73</f>
      </c>
      <c r="C87" s="263" t="str">
        <f>IF($D$17="","",Vertaling!$B$147)</f>
      </c>
      <c r="D87" s="279">
        <f>IF($D$9=dropdowns!$B$180,0,IF(DATA!$B$30="",0,DATA!$B$30))</f>
      </c>
      <c r="E87" s="263" t="str">
        <f>Vertaling!$B$147</f>
      </c>
      <c r="F87" s="279">
        <f>IF($D$9=dropdowns!$B$180,IF(DATA!$B$30="",0,DATA!$B$30),IF(DATA!$B$58="",0,DATA!$B$58))</f>
      </c>
      <c r="G87" s="1"/>
      <c r="H87" s="240"/>
      <c r="I87" s="240"/>
      <c r="J87" s="240"/>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13"/>
      <c r="AL87" s="13"/>
      <c r="AM87" s="13"/>
      <c r="AN87" s="13"/>
      <c r="AO87" s="13"/>
      <c r="AP87" s="13"/>
      <c r="AQ87" s="13"/>
      <c r="AR87" s="13"/>
      <c r="AS87" s="13"/>
      <c r="AT87" s="13"/>
      <c r="AU87" s="13"/>
      <c r="AV87" s="13"/>
      <c r="AW87" s="13"/>
      <c r="AX87" s="14"/>
      <c r="AY87" s="14"/>
      <c r="AZ87" s="14"/>
      <c r="BA87" s="14"/>
      <c r="BB87" s="14"/>
      <c r="BC87" s="14"/>
      <c r="BD87" s="14"/>
      <c r="BE87" s="14"/>
      <c r="BF87" s="14"/>
      <c r="BG87" s="14"/>
      <c r="BH87" s="14"/>
      <c r="BI87" s="14"/>
      <c r="BJ87" s="14"/>
    </row>
    <row r="88" spans="1:62" customFormat="1" ht="7.5" customHeight="1">
      <c r="A88" s="70"/>
      <c r="B88" s="353"/>
      <c r="C88" s="265"/>
      <c r="D88" s="1"/>
      <c r="E88" s="265"/>
      <c r="F88" s="1"/>
      <c r="G88" s="1"/>
      <c r="H88" s="240"/>
      <c r="I88" s="240"/>
      <c r="J88" s="240"/>
      <c r="K88" s="240"/>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13"/>
      <c r="AL88" s="13"/>
      <c r="AM88" s="13"/>
      <c r="AN88" s="13"/>
      <c r="AO88" s="13"/>
      <c r="AP88" s="13"/>
      <c r="AQ88" s="13"/>
      <c r="AR88" s="13"/>
      <c r="AS88" s="13"/>
      <c r="AT88" s="13"/>
      <c r="AU88" s="13"/>
      <c r="AV88" s="13"/>
      <c r="AW88" s="13"/>
      <c r="AX88" s="14"/>
      <c r="AY88" s="14"/>
      <c r="AZ88" s="14"/>
      <c r="BA88" s="14"/>
      <c r="BB88" s="14"/>
      <c r="BC88" s="14"/>
      <c r="BD88" s="14"/>
      <c r="BE88" s="14"/>
      <c r="BF88" s="14"/>
      <c r="BG88" s="14"/>
      <c r="BH88" s="14"/>
      <c r="BI88" s="14"/>
      <c r="BJ88" s="14"/>
    </row>
    <row r="89" spans="1:62" customFormat="1" ht="12.75">
      <c r="A89" s="70"/>
      <c r="B89" s="353"/>
      <c r="C89" s="271"/>
      <c r="D89" s="1"/>
      <c r="E89" s="265"/>
      <c r="F89" s="1"/>
      <c r="G89" s="1"/>
      <c r="H89" s="240"/>
      <c r="I89" s="240"/>
      <c r="J89" s="240"/>
      <c r="K89" s="240"/>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c r="AK89" s="13"/>
      <c r="AL89" s="13"/>
      <c r="AM89" s="13"/>
      <c r="AN89" s="13"/>
      <c r="AO89" s="13"/>
      <c r="AP89" s="13"/>
      <c r="AQ89" s="13"/>
      <c r="AR89" s="13"/>
      <c r="AS89" s="13"/>
      <c r="AT89" s="13"/>
      <c r="AU89" s="13"/>
      <c r="AV89" s="13"/>
      <c r="AW89" s="13"/>
      <c r="AX89" s="14"/>
      <c r="AY89" s="14"/>
      <c r="AZ89" s="14"/>
      <c r="BA89" s="14"/>
      <c r="BB89" s="14"/>
      <c r="BC89" s="14"/>
      <c r="BD89" s="14"/>
      <c r="BE89" s="14"/>
      <c r="BF89" s="14"/>
      <c r="BG89" s="14"/>
      <c r="BH89" s="14"/>
      <c r="BI89" s="14"/>
      <c r="BJ89" s="14"/>
    </row>
    <row r="90" spans="1:62" customFormat="1" ht="12.75">
      <c r="A90" s="70"/>
      <c r="B90" s="234" t="str">
        <f>Vertaling!B74</f>
      </c>
      <c r="C90" s="271"/>
      <c r="D90" s="1"/>
      <c r="E90" s="268"/>
      <c r="F90" s="1"/>
      <c r="G90" s="1"/>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13"/>
      <c r="AL90" s="13"/>
      <c r="AM90" s="13"/>
      <c r="AN90" s="13"/>
      <c r="AO90" s="13"/>
      <c r="AP90" s="13"/>
      <c r="AQ90" s="13"/>
      <c r="AR90" s="13"/>
      <c r="AS90" s="13"/>
      <c r="AT90" s="13"/>
      <c r="AU90" s="13"/>
      <c r="AV90" s="13"/>
      <c r="AW90" s="13"/>
      <c r="AX90" s="14"/>
      <c r="AY90" s="14"/>
      <c r="AZ90" s="14"/>
      <c r="BA90" s="14"/>
      <c r="BB90" s="14"/>
      <c r="BC90" s="14"/>
      <c r="BD90" s="14"/>
      <c r="BE90" s="14"/>
      <c r="BF90" s="14"/>
      <c r="BG90" s="14"/>
      <c r="BH90" s="14"/>
      <c r="BI90" s="14"/>
      <c r="BJ90" s="14"/>
    </row>
    <row r="91" spans="1:62" customFormat="1" ht="12.75">
      <c r="A91" s="91" t="str">
        <f>CONCATENATE(LEFT(A87,2)+1,".")</f>
      </c>
      <c r="B91" s="238" t="str">
        <f>Vertaling!B75</f>
      </c>
      <c r="C91" s="271"/>
      <c r="D91" s="261" t="str">
        <f>Vertaling!$B$146</f>
      </c>
      <c r="E91" s="268"/>
      <c r="F91" s="261" t="str">
        <f>Vertaling!$B$146</f>
      </c>
      <c r="G91" s="1"/>
      <c r="H91" s="240"/>
      <c r="I91" s="240"/>
      <c r="J91" s="240"/>
      <c r="K91" s="240"/>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c r="AK91" s="13"/>
      <c r="AL91" s="13"/>
      <c r="AM91" s="13"/>
      <c r="AN91" s="13"/>
      <c r="AO91" s="13"/>
      <c r="AP91" s="13"/>
      <c r="AQ91" s="13"/>
      <c r="AR91" s="13"/>
      <c r="AS91" s="13"/>
      <c r="AT91" s="13"/>
      <c r="AU91" s="13"/>
      <c r="AV91" s="13"/>
      <c r="AW91" s="13"/>
      <c r="AX91" s="14"/>
      <c r="AY91" s="14"/>
      <c r="AZ91" s="14"/>
      <c r="BA91" s="14"/>
      <c r="BB91" s="14"/>
      <c r="BC91" s="14"/>
      <c r="BD91" s="14"/>
      <c r="BE91" s="14"/>
      <c r="BF91" s="14"/>
      <c r="BG91" s="14"/>
      <c r="BH91" s="14"/>
      <c r="BI91" s="14"/>
      <c r="BJ91" s="14"/>
    </row>
    <row r="92" spans="1:62" customFormat="1" ht="12.75">
      <c r="A92" s="236" t="s">
        <v>4</v>
      </c>
      <c r="B92" s="353" t="str">
        <f>Vertaling!B76</f>
      </c>
      <c r="C92" s="263" t="str">
        <f>Vertaling!$B$145</f>
      </c>
      <c r="D92" s="283" t="str">
        <f>IF(DATA!B60="",dropdowns!$B$76,DATA!B60)</f>
      </c>
      <c r="E92" s="263" t="str">
        <f>Vertaling!$B$147</f>
      </c>
      <c r="F92" s="282">
        <f>IF(DATA!B59="",0,DATA!B59)</f>
      </c>
      <c r="G92" s="237"/>
      <c r="H92" s="240"/>
      <c r="I92" s="240"/>
      <c r="J92" s="240"/>
      <c r="K92" s="240"/>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c r="AK92" s="13"/>
      <c r="AL92" s="13"/>
      <c r="AM92" s="13"/>
      <c r="AN92" s="13"/>
      <c r="AO92" s="13"/>
      <c r="AP92" s="13"/>
      <c r="AQ92" s="13"/>
      <c r="AR92" s="13"/>
      <c r="AS92" s="13"/>
      <c r="AT92" s="13"/>
      <c r="AU92" s="13"/>
      <c r="AV92" s="13"/>
      <c r="AW92" s="13"/>
      <c r="AX92" s="14"/>
      <c r="AY92" s="14"/>
      <c r="AZ92" s="14"/>
      <c r="BA92" s="14"/>
      <c r="BB92" s="14"/>
      <c r="BC92" s="14"/>
      <c r="BD92" s="14"/>
      <c r="BE92" s="14"/>
      <c r="BF92" s="14"/>
      <c r="BG92" s="14"/>
      <c r="BH92" s="14"/>
      <c r="BI92" s="14"/>
      <c r="BJ92" s="14"/>
    </row>
    <row r="93" spans="1:62" customFormat="1" ht="7.5" customHeight="1">
      <c r="A93" s="236"/>
      <c r="B93" s="353"/>
      <c r="C93" s="263"/>
      <c r="D93" s="237"/>
      <c r="E93" s="263"/>
      <c r="F93" s="247"/>
      <c r="G93" s="237"/>
      <c r="H93" s="240"/>
      <c r="I93" s="240"/>
      <c r="J93" s="240"/>
      <c r="K93" s="240"/>
      <c r="L93" s="240"/>
      <c r="M93" s="240"/>
      <c r="N93" s="240"/>
      <c r="O93" s="240"/>
      <c r="P93" s="240"/>
      <c r="Q93" s="240"/>
      <c r="R93" s="240"/>
      <c r="S93" s="240"/>
      <c r="T93" s="240"/>
      <c r="U93" s="240"/>
      <c r="V93" s="240"/>
      <c r="W93" s="240"/>
      <c r="X93" s="240"/>
      <c r="Y93" s="240"/>
      <c r="Z93" s="240"/>
      <c r="AA93" s="240"/>
      <c r="AB93" s="240"/>
      <c r="AC93" s="240"/>
      <c r="AD93" s="240"/>
      <c r="AE93" s="240"/>
      <c r="AF93" s="240"/>
      <c r="AG93" s="240"/>
      <c r="AH93" s="240"/>
      <c r="AI93" s="240"/>
      <c r="AJ93" s="240"/>
      <c r="AK93" s="13"/>
      <c r="AL93" s="13"/>
      <c r="AM93" s="13"/>
      <c r="AN93" s="13"/>
      <c r="AO93" s="13"/>
      <c r="AP93" s="13"/>
      <c r="AQ93" s="13"/>
      <c r="AR93" s="13"/>
      <c r="AS93" s="13"/>
      <c r="AT93" s="13"/>
      <c r="AU93" s="13"/>
      <c r="AV93" s="13"/>
      <c r="AW93" s="13"/>
      <c r="AX93" s="14"/>
      <c r="AY93" s="14"/>
      <c r="AZ93" s="14"/>
      <c r="BA93" s="14"/>
      <c r="BB93" s="14"/>
      <c r="BC93" s="14"/>
      <c r="BD93" s="14"/>
      <c r="BE93" s="14"/>
      <c r="BF93" s="14"/>
      <c r="BG93" s="14"/>
      <c r="BH93" s="14"/>
      <c r="BI93" s="14"/>
      <c r="BJ93" s="14"/>
    </row>
    <row r="94" spans="1:62" customFormat="1" ht="12.75">
      <c r="A94" s="236" t="s">
        <v>4</v>
      </c>
      <c r="B94" s="353" t="str">
        <f>Vertaling!B77</f>
      </c>
      <c r="C94" s="263" t="str">
        <f>Vertaling!$B$145</f>
      </c>
      <c r="D94" s="283" t="str">
        <f>IF(DATA!B62="",dropdowns!$B$76,DATA!B62)</f>
      </c>
      <c r="E94" s="263" t="str">
        <f>Vertaling!$B$147</f>
      </c>
      <c r="F94" s="282">
        <f>IF(DATA!B61="",0,DATA!B61)</f>
      </c>
      <c r="G94" s="237"/>
      <c r="H94" s="240"/>
      <c r="I94" s="240"/>
      <c r="J94" s="240"/>
      <c r="K94" s="240"/>
      <c r="L94" s="240"/>
      <c r="M94" s="240"/>
      <c r="N94" s="240"/>
      <c r="O94" s="240"/>
      <c r="P94" s="240"/>
      <c r="Q94" s="240"/>
      <c r="R94" s="240"/>
      <c r="S94" s="240"/>
      <c r="T94" s="240"/>
      <c r="U94" s="240"/>
      <c r="V94" s="240"/>
      <c r="W94" s="240"/>
      <c r="X94" s="240"/>
      <c r="Y94" s="240"/>
      <c r="Z94" s="240"/>
      <c r="AA94" s="240"/>
      <c r="AB94" s="240"/>
      <c r="AC94" s="240"/>
      <c r="AD94" s="240"/>
      <c r="AE94" s="240"/>
      <c r="AF94" s="240"/>
      <c r="AG94" s="240"/>
      <c r="AH94" s="240"/>
      <c r="AI94" s="240"/>
      <c r="AJ94" s="240"/>
      <c r="AK94" s="13"/>
      <c r="AL94" s="13"/>
      <c r="AM94" s="13"/>
      <c r="AN94" s="13"/>
      <c r="AO94" s="13"/>
      <c r="AP94" s="13"/>
      <c r="AQ94" s="13"/>
      <c r="AR94" s="13"/>
      <c r="AS94" s="13"/>
      <c r="AT94" s="13"/>
      <c r="AU94" s="13"/>
      <c r="AV94" s="13"/>
      <c r="AW94" s="13"/>
      <c r="AX94" s="14"/>
      <c r="AY94" s="14"/>
      <c r="AZ94" s="14"/>
      <c r="BA94" s="14"/>
      <c r="BB94" s="14"/>
      <c r="BC94" s="14"/>
      <c r="BD94" s="14"/>
      <c r="BE94" s="14"/>
      <c r="BF94" s="14"/>
      <c r="BG94" s="14"/>
      <c r="BH94" s="14"/>
      <c r="BI94" s="14"/>
      <c r="BJ94" s="14"/>
    </row>
    <row r="95" spans="1:62" customFormat="1" ht="7.5" customHeight="1">
      <c r="A95" s="236"/>
      <c r="B95" s="353"/>
      <c r="C95" s="263"/>
      <c r="D95" s="237"/>
      <c r="E95" s="263"/>
      <c r="F95" s="247"/>
      <c r="G95" s="237"/>
      <c r="H95" s="240"/>
      <c r="I95" s="240"/>
      <c r="J95" s="240"/>
      <c r="K95" s="240"/>
      <c r="L95" s="240"/>
      <c r="M95" s="240"/>
      <c r="N95" s="240"/>
      <c r="O95" s="240"/>
      <c r="P95" s="240"/>
      <c r="Q95" s="240"/>
      <c r="R95" s="240"/>
      <c r="S95" s="240"/>
      <c r="T95" s="240"/>
      <c r="U95" s="240"/>
      <c r="V95" s="240"/>
      <c r="W95" s="240"/>
      <c r="X95" s="240"/>
      <c r="Y95" s="240"/>
      <c r="Z95" s="240"/>
      <c r="AA95" s="240"/>
      <c r="AB95" s="240"/>
      <c r="AC95" s="240"/>
      <c r="AD95" s="240"/>
      <c r="AE95" s="240"/>
      <c r="AF95" s="240"/>
      <c r="AG95" s="240"/>
      <c r="AH95" s="240"/>
      <c r="AI95" s="240"/>
      <c r="AJ95" s="240"/>
      <c r="AK95" s="13"/>
      <c r="AL95" s="13"/>
      <c r="AM95" s="13"/>
      <c r="AN95" s="13"/>
      <c r="AO95" s="13"/>
      <c r="AP95" s="13"/>
      <c r="AQ95" s="13"/>
      <c r="AR95" s="13"/>
      <c r="AS95" s="13"/>
      <c r="AT95" s="13"/>
      <c r="AU95" s="13"/>
      <c r="AV95" s="13"/>
      <c r="AW95" s="13"/>
      <c r="AX95" s="14"/>
      <c r="AY95" s="14"/>
      <c r="AZ95" s="14"/>
      <c r="BA95" s="14"/>
      <c r="BB95" s="14"/>
      <c r="BC95" s="14"/>
      <c r="BD95" s="14"/>
      <c r="BE95" s="14"/>
      <c r="BF95" s="14"/>
      <c r="BG95" s="14"/>
      <c r="BH95" s="14"/>
      <c r="BI95" s="14"/>
      <c r="BJ95" s="14"/>
    </row>
    <row r="96" spans="1:62" customFormat="1" ht="12.75">
      <c r="A96" s="236" t="s">
        <v>4</v>
      </c>
      <c r="B96" s="353" t="str">
        <f>Vertaling!B78</f>
      </c>
      <c r="C96" s="263" t="str">
        <f>Vertaling!$B$145</f>
      </c>
      <c r="D96" s="283" t="str">
        <f>IF(DATA!B64="",dropdowns!$B$76,DATA!B64)</f>
      </c>
      <c r="E96" s="263" t="str">
        <f>Vertaling!$B$147</f>
      </c>
      <c r="F96" s="282">
        <f>IF(DATA!B63="",0,DATA!B63)</f>
      </c>
      <c r="G96" s="237"/>
      <c r="H96" s="240"/>
      <c r="I96" s="240"/>
      <c r="J96" s="240"/>
      <c r="K96" s="240"/>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13"/>
      <c r="AL96" s="13"/>
      <c r="AM96" s="13"/>
      <c r="AN96" s="13"/>
      <c r="AO96" s="13"/>
      <c r="AP96" s="13"/>
      <c r="AQ96" s="13"/>
      <c r="AR96" s="13"/>
      <c r="AS96" s="13"/>
      <c r="AT96" s="13"/>
      <c r="AU96" s="13"/>
      <c r="AV96" s="13"/>
      <c r="AW96" s="13"/>
      <c r="AX96" s="14"/>
      <c r="AY96" s="14"/>
      <c r="AZ96" s="14"/>
      <c r="BA96" s="14"/>
      <c r="BB96" s="14"/>
      <c r="BC96" s="14"/>
      <c r="BD96" s="14"/>
      <c r="BE96" s="14"/>
      <c r="BF96" s="14"/>
      <c r="BG96" s="14"/>
      <c r="BH96" s="14"/>
      <c r="BI96" s="14"/>
      <c r="BJ96" s="14"/>
    </row>
    <row r="97" spans="1:62" customFormat="1" ht="7.5" customHeight="1">
      <c r="A97" s="236"/>
      <c r="B97" s="353"/>
      <c r="C97" s="263"/>
      <c r="D97" s="237"/>
      <c r="E97" s="263"/>
      <c r="F97" s="247"/>
      <c r="G97" s="237"/>
      <c r="H97" s="240"/>
      <c r="I97" s="240"/>
      <c r="J97" s="240"/>
      <c r="K97" s="240"/>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13"/>
      <c r="AL97" s="13"/>
      <c r="AM97" s="13"/>
      <c r="AN97" s="13"/>
      <c r="AO97" s="13"/>
      <c r="AP97" s="13"/>
      <c r="AQ97" s="13"/>
      <c r="AR97" s="13"/>
      <c r="AS97" s="13"/>
      <c r="AT97" s="13"/>
      <c r="AU97" s="13"/>
      <c r="AV97" s="13"/>
      <c r="AW97" s="13"/>
      <c r="AX97" s="14"/>
      <c r="AY97" s="14"/>
      <c r="AZ97" s="14"/>
      <c r="BA97" s="14"/>
      <c r="BB97" s="14"/>
      <c r="BC97" s="14"/>
      <c r="BD97" s="14"/>
      <c r="BE97" s="14"/>
      <c r="BF97" s="14"/>
      <c r="BG97" s="14"/>
      <c r="BH97" s="14"/>
      <c r="BI97" s="14"/>
      <c r="BJ97" s="14"/>
    </row>
    <row r="98" spans="1:62" customFormat="1" ht="12.75">
      <c r="A98" s="236" t="s">
        <v>4</v>
      </c>
      <c r="B98" s="353" t="str">
        <f>Vertaling!B79</f>
      </c>
      <c r="C98" s="263" t="str">
        <f>Vertaling!$B$145</f>
      </c>
      <c r="D98" s="283" t="str">
        <f>IF(DATA!B66="",dropdowns!$B$76,DATA!B66)</f>
      </c>
      <c r="E98" s="263" t="str">
        <f>Vertaling!$B$147</f>
      </c>
      <c r="F98" s="282">
        <f>IF(DATA!B65="",0,DATA!B65)</f>
      </c>
      <c r="G98" s="237"/>
      <c r="H98" s="240"/>
      <c r="I98" s="240"/>
      <c r="J98" s="240"/>
      <c r="K98" s="240"/>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c r="AK98" s="13"/>
      <c r="AL98" s="13"/>
      <c r="AM98" s="13"/>
      <c r="AN98" s="13"/>
      <c r="AO98" s="13"/>
      <c r="AP98" s="13"/>
      <c r="AQ98" s="13"/>
      <c r="AR98" s="13"/>
      <c r="AS98" s="13"/>
      <c r="AT98" s="13"/>
      <c r="AU98" s="13"/>
      <c r="AV98" s="13"/>
      <c r="AW98" s="13"/>
      <c r="AX98" s="14"/>
      <c r="AY98" s="14"/>
      <c r="AZ98" s="14"/>
      <c r="BA98" s="14"/>
      <c r="BB98" s="14"/>
      <c r="BC98" s="14"/>
      <c r="BD98" s="14"/>
      <c r="BE98" s="14"/>
      <c r="BF98" s="14"/>
      <c r="BG98" s="14"/>
      <c r="BH98" s="14"/>
      <c r="BI98" s="14"/>
      <c r="BJ98" s="14"/>
    </row>
    <row r="99" spans="1:62" customFormat="1" ht="7.5" customHeight="1">
      <c r="A99" s="236"/>
      <c r="B99" s="353"/>
      <c r="C99" s="263"/>
      <c r="D99" s="237"/>
      <c r="E99" s="263"/>
      <c r="F99" s="247"/>
      <c r="G99" s="237"/>
      <c r="H99" s="240"/>
      <c r="I99" s="240"/>
      <c r="J99" s="240"/>
      <c r="K99" s="240"/>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c r="AK99" s="13"/>
      <c r="AL99" s="13"/>
      <c r="AM99" s="13"/>
      <c r="AN99" s="13"/>
      <c r="AO99" s="13"/>
      <c r="AP99" s="13"/>
      <c r="AQ99" s="13"/>
      <c r="AR99" s="13"/>
      <c r="AS99" s="13"/>
      <c r="AT99" s="13"/>
      <c r="AU99" s="13"/>
      <c r="AV99" s="13"/>
      <c r="AW99" s="13"/>
      <c r="AX99" s="14"/>
      <c r="AY99" s="14"/>
      <c r="AZ99" s="14"/>
      <c r="BA99" s="14"/>
      <c r="BB99" s="14"/>
      <c r="BC99" s="14"/>
      <c r="BD99" s="14"/>
      <c r="BE99" s="14"/>
      <c r="BF99" s="14"/>
      <c r="BG99" s="14"/>
      <c r="BH99" s="14"/>
      <c r="BI99" s="14"/>
      <c r="BJ99" s="14"/>
    </row>
    <row r="100" spans="1:62" customFormat="1" ht="12.75">
      <c r="A100" s="236" t="s">
        <v>4</v>
      </c>
      <c r="B100" s="353" t="str">
        <f>Vertaling!B80</f>
      </c>
      <c r="C100" s="263" t="str">
        <f>Vertaling!$B$145</f>
      </c>
      <c r="D100" s="283" t="str">
        <f>IF(DATA!B68="",dropdowns!$B$76,DATA!B68)</f>
      </c>
      <c r="E100" s="263" t="str">
        <f>Vertaling!$B$147</f>
      </c>
      <c r="F100" s="282">
        <f>IF(DATA!B67="",0,DATA!B67)</f>
      </c>
      <c r="G100" s="237"/>
      <c r="H100" s="240"/>
      <c r="I100" s="240"/>
      <c r="J100" s="240"/>
      <c r="K100" s="240"/>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13"/>
      <c r="AL100" s="13"/>
      <c r="AM100" s="13"/>
      <c r="AN100" s="13"/>
      <c r="AO100" s="13"/>
      <c r="AP100" s="13"/>
      <c r="AQ100" s="13"/>
      <c r="AR100" s="13"/>
      <c r="AS100" s="13"/>
      <c r="AT100" s="13"/>
      <c r="AU100" s="13"/>
      <c r="AV100" s="13"/>
      <c r="AW100" s="13"/>
      <c r="AX100" s="14"/>
      <c r="AY100" s="14"/>
      <c r="AZ100" s="14"/>
      <c r="BA100" s="14"/>
      <c r="BB100" s="14"/>
      <c r="BC100" s="14"/>
      <c r="BD100" s="14"/>
      <c r="BE100" s="14"/>
      <c r="BF100" s="14"/>
      <c r="BG100" s="14"/>
      <c r="BH100" s="14"/>
      <c r="BI100" s="14"/>
      <c r="BJ100" s="14"/>
    </row>
    <row r="101" spans="1:62" customFormat="1" ht="7.5" customHeight="1">
      <c r="A101" s="236"/>
      <c r="B101" s="353"/>
      <c r="C101" s="263"/>
      <c r="D101" s="237"/>
      <c r="E101" s="263"/>
      <c r="F101" s="247"/>
      <c r="G101" s="237"/>
      <c r="H101" s="240"/>
      <c r="I101" s="240"/>
      <c r="J101" s="240"/>
      <c r="K101" s="240"/>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13"/>
      <c r="AL101" s="13"/>
      <c r="AM101" s="13"/>
      <c r="AN101" s="13"/>
      <c r="AO101" s="13"/>
      <c r="AP101" s="13"/>
      <c r="AQ101" s="13"/>
      <c r="AR101" s="13"/>
      <c r="AS101" s="13"/>
      <c r="AT101" s="13"/>
      <c r="AU101" s="13"/>
      <c r="AV101" s="13"/>
      <c r="AW101" s="13"/>
      <c r="AX101" s="14"/>
      <c r="AY101" s="14"/>
      <c r="AZ101" s="14"/>
      <c r="BA101" s="14"/>
      <c r="BB101" s="14"/>
      <c r="BC101" s="14"/>
      <c r="BD101" s="14"/>
      <c r="BE101" s="14"/>
      <c r="BF101" s="14"/>
      <c r="BG101" s="14"/>
      <c r="BH101" s="14"/>
      <c r="BI101" s="14"/>
      <c r="BJ101" s="14"/>
    </row>
    <row r="102" spans="1:62" customFormat="1" ht="12.75">
      <c r="A102" s="236" t="s">
        <v>4</v>
      </c>
      <c r="B102" s="353" t="str">
        <f>Vertaling!B81</f>
      </c>
      <c r="C102" s="263" t="str">
        <f>Vertaling!$B$145</f>
      </c>
      <c r="D102" s="283" t="str">
        <f>IF(DATA!B70="",dropdowns!$B$76,DATA!B70)</f>
      </c>
      <c r="E102" s="263" t="str">
        <f>Vertaling!$B$147</f>
      </c>
      <c r="F102" s="282">
        <f>IF(DATA!B69="",0,DATA!B69)</f>
      </c>
      <c r="G102" s="237"/>
      <c r="H102" s="240"/>
      <c r="I102" s="240"/>
      <c r="J102" s="240"/>
      <c r="K102" s="240"/>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13"/>
      <c r="AL102" s="13"/>
      <c r="AM102" s="13"/>
      <c r="AN102" s="13"/>
      <c r="AO102" s="13"/>
      <c r="AP102" s="13"/>
      <c r="AQ102" s="13"/>
      <c r="AR102" s="13"/>
      <c r="AS102" s="13"/>
      <c r="AT102" s="13"/>
      <c r="AU102" s="13"/>
      <c r="AV102" s="13"/>
      <c r="AW102" s="13"/>
      <c r="AX102" s="14"/>
      <c r="AY102" s="14"/>
      <c r="AZ102" s="14"/>
      <c r="BA102" s="14"/>
      <c r="BB102" s="14"/>
      <c r="BC102" s="14"/>
      <c r="BD102" s="14"/>
      <c r="BE102" s="14"/>
      <c r="BF102" s="14"/>
      <c r="BG102" s="14"/>
      <c r="BH102" s="14"/>
      <c r="BI102" s="14"/>
      <c r="BJ102" s="14"/>
    </row>
    <row r="103" spans="1:62" customFormat="1" ht="7.5" customHeight="1">
      <c r="A103" s="236"/>
      <c r="B103" s="353"/>
      <c r="C103" s="263"/>
      <c r="D103" s="237"/>
      <c r="E103" s="263"/>
      <c r="F103" s="247"/>
      <c r="G103" s="237"/>
      <c r="H103" s="240"/>
      <c r="I103" s="240"/>
      <c r="J103" s="240"/>
      <c r="K103" s="240"/>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13"/>
      <c r="AL103" s="13"/>
      <c r="AM103" s="13"/>
      <c r="AN103" s="13"/>
      <c r="AO103" s="13"/>
      <c r="AP103" s="13"/>
      <c r="AQ103" s="13"/>
      <c r="AR103" s="13"/>
      <c r="AS103" s="13"/>
      <c r="AT103" s="13"/>
      <c r="AU103" s="13"/>
      <c r="AV103" s="13"/>
      <c r="AW103" s="13"/>
      <c r="AX103" s="14"/>
      <c r="AY103" s="14"/>
      <c r="AZ103" s="14"/>
      <c r="BA103" s="14"/>
      <c r="BB103" s="14"/>
      <c r="BC103" s="14"/>
      <c r="BD103" s="14"/>
      <c r="BE103" s="14"/>
      <c r="BF103" s="14"/>
      <c r="BG103" s="14"/>
      <c r="BH103" s="14"/>
      <c r="BI103" s="14"/>
      <c r="BJ103" s="14"/>
    </row>
    <row r="104" spans="1:62" customFormat="1" ht="12.75">
      <c r="A104" s="236" t="s">
        <v>4</v>
      </c>
      <c r="B104" s="353" t="str">
        <f>Vertaling!B82</f>
      </c>
      <c r="C104" s="263" t="str">
        <f>Vertaling!$B$145</f>
      </c>
      <c r="D104" s="283" t="str">
        <f>IF(DATA!B72="",dropdowns!$B$76,DATA!B72)</f>
      </c>
      <c r="E104" s="263" t="str">
        <f>Vertaling!$B$147</f>
      </c>
      <c r="F104" s="282">
        <f>IF(DATA!B71="",0,DATA!B71)</f>
      </c>
      <c r="G104" s="237"/>
      <c r="H104" s="240"/>
      <c r="I104" s="240"/>
      <c r="J104" s="240"/>
      <c r="K104" s="240"/>
      <c r="L104" s="240"/>
      <c r="M104" s="240"/>
      <c r="N104" s="240"/>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13"/>
      <c r="AL104" s="13"/>
      <c r="AM104" s="13"/>
      <c r="AN104" s="13"/>
      <c r="AO104" s="13"/>
      <c r="AP104" s="13"/>
      <c r="AQ104" s="13"/>
      <c r="AR104" s="13"/>
      <c r="AS104" s="13"/>
      <c r="AT104" s="13"/>
      <c r="AU104" s="13"/>
      <c r="AV104" s="13"/>
      <c r="AW104" s="13"/>
      <c r="AX104" s="14"/>
      <c r="AY104" s="14"/>
      <c r="AZ104" s="14"/>
      <c r="BA104" s="14"/>
      <c r="BB104" s="14"/>
      <c r="BC104" s="14"/>
      <c r="BD104" s="14"/>
      <c r="BE104" s="14"/>
      <c r="BF104" s="14"/>
      <c r="BG104" s="14"/>
      <c r="BH104" s="14"/>
      <c r="BI104" s="14"/>
      <c r="BJ104" s="14"/>
    </row>
    <row r="105" spans="1:62" customFormat="1" ht="7.5" customHeight="1">
      <c r="A105" s="236"/>
      <c r="B105" s="353"/>
      <c r="C105" s="264"/>
      <c r="D105" s="237"/>
      <c r="E105" s="263"/>
      <c r="F105" s="247"/>
      <c r="G105" s="237"/>
      <c r="H105" s="240"/>
      <c r="I105" s="240"/>
      <c r="J105" s="240"/>
      <c r="K105" s="240"/>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0"/>
      <c r="AK105" s="13"/>
      <c r="AL105" s="13"/>
      <c r="AM105" s="13"/>
      <c r="AN105" s="13"/>
      <c r="AO105" s="13"/>
      <c r="AP105" s="13"/>
      <c r="AQ105" s="13"/>
      <c r="AR105" s="13"/>
      <c r="AS105" s="13"/>
      <c r="AT105" s="13"/>
      <c r="AU105" s="13"/>
      <c r="AV105" s="13"/>
      <c r="AW105" s="13"/>
      <c r="AX105" s="14"/>
      <c r="AY105" s="14"/>
      <c r="AZ105" s="14"/>
      <c r="BA105" s="14"/>
      <c r="BB105" s="14"/>
      <c r="BC105" s="14"/>
      <c r="BD105" s="14"/>
      <c r="BE105" s="14"/>
      <c r="BF105" s="14"/>
      <c r="BG105" s="14"/>
      <c r="BH105" s="14"/>
      <c r="BI105" s="14"/>
      <c r="BJ105" s="14"/>
    </row>
    <row r="106" spans="1:62" customFormat="1" ht="12.75">
      <c r="A106" s="236" t="s">
        <v>4</v>
      </c>
      <c r="B106" s="353" t="str">
        <f>Vertaling!B83</f>
      </c>
      <c r="C106" s="263" t="str">
        <f>Vertaling!$B$145</f>
      </c>
      <c r="D106" s="283" t="str">
        <f>IF(DATA!B74="",dropdowns!$B$76,DATA!B74)</f>
      </c>
      <c r="E106" s="263" t="str">
        <f>Vertaling!$B$147</f>
      </c>
      <c r="F106" s="282">
        <f>IF(DATA!B73="",0,DATA!B73)</f>
      </c>
      <c r="G106" s="237"/>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0"/>
      <c r="AD106" s="240"/>
      <c r="AE106" s="240"/>
      <c r="AF106" s="240"/>
      <c r="AG106" s="240"/>
      <c r="AH106" s="240"/>
      <c r="AI106" s="240"/>
      <c r="AJ106" s="240"/>
      <c r="AK106" s="13"/>
      <c r="AL106" s="13"/>
      <c r="AM106" s="13"/>
      <c r="AN106" s="13"/>
      <c r="AO106" s="13"/>
      <c r="AP106" s="13"/>
      <c r="AQ106" s="13"/>
      <c r="AR106" s="13"/>
      <c r="AS106" s="13"/>
      <c r="AT106" s="13"/>
      <c r="AU106" s="13"/>
      <c r="AV106" s="13"/>
      <c r="AW106" s="13"/>
      <c r="AX106" s="14"/>
      <c r="AY106" s="14"/>
      <c r="AZ106" s="14"/>
      <c r="BA106" s="14"/>
      <c r="BB106" s="14"/>
      <c r="BC106" s="14"/>
      <c r="BD106" s="14"/>
      <c r="BE106" s="14"/>
      <c r="BF106" s="14"/>
      <c r="BG106" s="14"/>
      <c r="BH106" s="14"/>
      <c r="BI106" s="14"/>
      <c r="BJ106" s="14"/>
    </row>
    <row r="107" spans="1:62" customFormat="1" ht="7.5" customHeight="1">
      <c r="A107" s="236"/>
      <c r="B107" s="353"/>
      <c r="C107" s="264"/>
      <c r="D107" s="237"/>
      <c r="E107" s="263"/>
      <c r="F107" s="247"/>
      <c r="G107" s="237"/>
      <c r="H107" s="240"/>
      <c r="I107" s="240"/>
      <c r="J107" s="240"/>
      <c r="K107" s="240"/>
      <c r="L107" s="240"/>
      <c r="M107" s="240"/>
      <c r="N107" s="240"/>
      <c r="O107" s="240"/>
      <c r="P107" s="240"/>
      <c r="Q107" s="240"/>
      <c r="R107" s="240"/>
      <c r="S107" s="240"/>
      <c r="T107" s="240"/>
      <c r="U107" s="240"/>
      <c r="V107" s="240"/>
      <c r="W107" s="240"/>
      <c r="X107" s="240"/>
      <c r="Y107" s="240"/>
      <c r="Z107" s="240"/>
      <c r="AA107" s="240"/>
      <c r="AB107" s="240"/>
      <c r="AC107" s="240"/>
      <c r="AD107" s="240"/>
      <c r="AE107" s="240"/>
      <c r="AF107" s="240"/>
      <c r="AG107" s="240"/>
      <c r="AH107" s="240"/>
      <c r="AI107" s="240"/>
      <c r="AJ107" s="240"/>
      <c r="AK107" s="13"/>
      <c r="AL107" s="13"/>
      <c r="AM107" s="13"/>
      <c r="AN107" s="13"/>
      <c r="AO107" s="13"/>
      <c r="AP107" s="13"/>
      <c r="AQ107" s="13"/>
      <c r="AR107" s="13"/>
      <c r="AS107" s="13"/>
      <c r="AT107" s="13"/>
      <c r="AU107" s="13"/>
      <c r="AV107" s="13"/>
      <c r="AW107" s="13"/>
      <c r="AX107" s="14"/>
      <c r="AY107" s="14"/>
      <c r="AZ107" s="14"/>
      <c r="BA107" s="14"/>
      <c r="BB107" s="14"/>
      <c r="BC107" s="14"/>
      <c r="BD107" s="14"/>
      <c r="BE107" s="14"/>
      <c r="BF107" s="14"/>
      <c r="BG107" s="14"/>
      <c r="BH107" s="14"/>
      <c r="BI107" s="14"/>
      <c r="BJ107" s="14"/>
    </row>
    <row r="108" spans="1:62" customFormat="1" ht="12.75">
      <c r="A108" s="236" t="s">
        <v>4</v>
      </c>
      <c r="B108" s="353" t="str">
        <f>Vertaling!B84</f>
      </c>
      <c r="C108" s="271"/>
      <c r="D108" s="1"/>
      <c r="E108" s="263" t="str">
        <f>Vertaling!$B$147</f>
      </c>
      <c r="F108" s="282">
        <f>IF(DATA!B75="",0,DATA!B75)</f>
      </c>
      <c r="G108" s="1"/>
      <c r="H108" s="240"/>
      <c r="I108" s="240"/>
      <c r="J108" s="240"/>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13"/>
      <c r="AL108" s="13"/>
      <c r="AM108" s="13"/>
      <c r="AN108" s="13"/>
      <c r="AO108" s="13"/>
      <c r="AP108" s="13"/>
      <c r="AQ108" s="13"/>
      <c r="AR108" s="13"/>
      <c r="AS108" s="13"/>
      <c r="AT108" s="13"/>
      <c r="AU108" s="13"/>
      <c r="AV108" s="13"/>
      <c r="AW108" s="13"/>
      <c r="AX108" s="14"/>
      <c r="AY108" s="14"/>
      <c r="AZ108" s="14"/>
      <c r="BA108" s="14"/>
      <c r="BB108" s="14"/>
      <c r="BC108" s="14"/>
      <c r="BD108" s="14"/>
      <c r="BE108" s="14"/>
      <c r="BF108" s="14"/>
      <c r="BG108" s="14"/>
      <c r="BH108" s="14"/>
      <c r="BI108" s="14"/>
      <c r="BJ108" s="14"/>
    </row>
    <row r="109" spans="1:62" customFormat="1" ht="7.5" customHeight="1">
      <c r="A109" s="236"/>
      <c r="B109" s="353"/>
      <c r="C109" s="264"/>
      <c r="D109" s="237"/>
      <c r="E109" s="263"/>
      <c r="F109" s="247"/>
      <c r="G109" s="237"/>
      <c r="H109" s="240"/>
      <c r="I109" s="240"/>
      <c r="J109" s="240"/>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240"/>
      <c r="AI109" s="240"/>
      <c r="AJ109" s="240"/>
      <c r="AK109" s="13"/>
      <c r="AL109" s="13"/>
      <c r="AM109" s="13"/>
      <c r="AN109" s="13"/>
      <c r="AO109" s="13"/>
      <c r="AP109" s="13"/>
      <c r="AQ109" s="13"/>
      <c r="AR109" s="13"/>
      <c r="AS109" s="13"/>
      <c r="AT109" s="13"/>
      <c r="AU109" s="13"/>
      <c r="AV109" s="13"/>
      <c r="AW109" s="13"/>
      <c r="AX109" s="14"/>
      <c r="AY109" s="14"/>
      <c r="AZ109" s="14"/>
      <c r="BA109" s="14"/>
      <c r="BB109" s="14"/>
      <c r="BC109" s="14"/>
      <c r="BD109" s="14"/>
      <c r="BE109" s="14"/>
      <c r="BF109" s="14"/>
      <c r="BG109" s="14"/>
      <c r="BH109" s="14"/>
      <c r="BI109" s="14"/>
      <c r="BJ109" s="14"/>
    </row>
    <row r="110" spans="1:62" customFormat="1" ht="12.75">
      <c r="A110" s="236" t="s">
        <v>4</v>
      </c>
      <c r="B110" s="353" t="str">
        <f>Vertaling!B85</f>
      </c>
      <c r="C110" s="271"/>
      <c r="D110" s="1"/>
      <c r="E110" s="263" t="str">
        <f>Vertaling!$B$147</f>
      </c>
      <c r="F110" s="282">
        <f>IF(DATA!B76="",0,DATA!B76)</f>
      </c>
      <c r="G110" s="1"/>
      <c r="H110" s="240"/>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13"/>
      <c r="AL110" s="13"/>
      <c r="AM110" s="13"/>
      <c r="AN110" s="13"/>
      <c r="AO110" s="13"/>
      <c r="AP110" s="13"/>
      <c r="AQ110" s="13"/>
      <c r="AR110" s="13"/>
      <c r="AS110" s="13"/>
      <c r="AT110" s="13"/>
      <c r="AU110" s="13"/>
      <c r="AV110" s="13"/>
      <c r="AW110" s="13"/>
      <c r="AX110" s="14"/>
      <c r="AY110" s="14"/>
      <c r="AZ110" s="14"/>
      <c r="BA110" s="14"/>
      <c r="BB110" s="14"/>
      <c r="BC110" s="14"/>
      <c r="BD110" s="14"/>
      <c r="BE110" s="14"/>
      <c r="BF110" s="14"/>
      <c r="BG110" s="14"/>
      <c r="BH110" s="14"/>
      <c r="BI110" s="14"/>
      <c r="BJ110" s="14"/>
    </row>
    <row r="111" spans="1:62" customFormat="1" ht="7.5" customHeight="1">
      <c r="A111" s="236"/>
      <c r="B111" s="353"/>
      <c r="C111" s="264"/>
      <c r="D111" s="237"/>
      <c r="E111" s="263"/>
      <c r="F111" s="247"/>
      <c r="G111" s="237"/>
      <c r="H111" s="240"/>
      <c r="I111" s="240"/>
      <c r="J111" s="240"/>
      <c r="K111" s="240"/>
      <c r="L111" s="240"/>
      <c r="M111" s="240"/>
      <c r="N111" s="240"/>
      <c r="O111" s="240"/>
      <c r="P111" s="240"/>
      <c r="Q111" s="240"/>
      <c r="R111" s="240"/>
      <c r="S111" s="240"/>
      <c r="T111" s="240"/>
      <c r="U111" s="240"/>
      <c r="V111" s="240"/>
      <c r="W111" s="240"/>
      <c r="X111" s="240"/>
      <c r="Y111" s="240"/>
      <c r="Z111" s="240"/>
      <c r="AA111" s="240"/>
      <c r="AB111" s="240"/>
      <c r="AC111" s="240"/>
      <c r="AD111" s="240"/>
      <c r="AE111" s="240"/>
      <c r="AF111" s="240"/>
      <c r="AG111" s="240"/>
      <c r="AH111" s="240"/>
      <c r="AI111" s="240"/>
      <c r="AJ111" s="240"/>
      <c r="AK111" s="13"/>
      <c r="AL111" s="13"/>
      <c r="AM111" s="13"/>
      <c r="AN111" s="13"/>
      <c r="AO111" s="13"/>
      <c r="AP111" s="13"/>
      <c r="AQ111" s="13"/>
      <c r="AR111" s="13"/>
      <c r="AS111" s="13"/>
      <c r="AT111" s="13"/>
      <c r="AU111" s="13"/>
      <c r="AV111" s="13"/>
      <c r="AW111" s="13"/>
      <c r="AX111" s="14"/>
      <c r="AY111" s="14"/>
      <c r="AZ111" s="14"/>
      <c r="BA111" s="14"/>
      <c r="BB111" s="14"/>
      <c r="BC111" s="14"/>
      <c r="BD111" s="14"/>
      <c r="BE111" s="14"/>
      <c r="BF111" s="14"/>
      <c r="BG111" s="14"/>
      <c r="BH111" s="14"/>
      <c r="BI111" s="14"/>
      <c r="BJ111" s="14"/>
    </row>
    <row r="112" spans="1:62" customFormat="1" ht="12.75">
      <c r="A112" s="236" t="s">
        <v>4</v>
      </c>
      <c r="B112" s="353" t="str">
        <f>Vertaling!B86</f>
      </c>
      <c r="C112" s="271"/>
      <c r="D112" s="1"/>
      <c r="E112" s="263" t="str">
        <f>Vertaling!$B$147</f>
      </c>
      <c r="F112" s="282">
        <f>IF(DATA!B77="",0,DATA!B77)</f>
      </c>
      <c r="G112" s="1"/>
      <c r="H112" s="240"/>
      <c r="I112" s="240"/>
      <c r="J112" s="240"/>
      <c r="K112" s="240"/>
      <c r="L112" s="240"/>
      <c r="M112" s="240"/>
      <c r="N112" s="240"/>
      <c r="O112" s="240"/>
      <c r="P112" s="240"/>
      <c r="Q112" s="240"/>
      <c r="R112" s="240"/>
      <c r="S112" s="240"/>
      <c r="T112" s="240"/>
      <c r="U112" s="240"/>
      <c r="V112" s="240"/>
      <c r="W112" s="240"/>
      <c r="X112" s="240"/>
      <c r="Y112" s="240"/>
      <c r="Z112" s="240"/>
      <c r="AA112" s="240"/>
      <c r="AB112" s="240"/>
      <c r="AC112" s="240"/>
      <c r="AD112" s="240"/>
      <c r="AE112" s="240"/>
      <c r="AF112" s="240"/>
      <c r="AG112" s="240"/>
      <c r="AH112" s="240"/>
      <c r="AI112" s="240"/>
      <c r="AJ112" s="240"/>
      <c r="AK112" s="13"/>
      <c r="AL112" s="13"/>
      <c r="AM112" s="13"/>
      <c r="AN112" s="13"/>
      <c r="AO112" s="13"/>
      <c r="AP112" s="13"/>
      <c r="AQ112" s="13"/>
      <c r="AR112" s="13"/>
      <c r="AS112" s="13"/>
      <c r="AT112" s="13"/>
      <c r="AU112" s="13"/>
      <c r="AV112" s="13"/>
      <c r="AW112" s="13"/>
      <c r="AX112" s="14"/>
      <c r="AY112" s="14"/>
      <c r="AZ112" s="14"/>
      <c r="BA112" s="14"/>
      <c r="BB112" s="14"/>
      <c r="BC112" s="14"/>
      <c r="BD112" s="14"/>
      <c r="BE112" s="14"/>
      <c r="BF112" s="14"/>
      <c r="BG112" s="14"/>
      <c r="BH112" s="14"/>
      <c r="BI112" s="14"/>
      <c r="BJ112" s="14"/>
    </row>
    <row r="113" spans="1:62" customFormat="1" ht="7.5" customHeight="1">
      <c r="A113" s="236"/>
      <c r="B113" s="353"/>
      <c r="C113" s="264"/>
      <c r="D113" s="237"/>
      <c r="E113" s="263"/>
      <c r="F113" s="247"/>
      <c r="G113" s="237"/>
      <c r="H113" s="240"/>
      <c r="I113" s="240"/>
      <c r="J113" s="240"/>
      <c r="K113" s="240"/>
      <c r="L113" s="240"/>
      <c r="M113" s="240"/>
      <c r="N113" s="240"/>
      <c r="O113" s="240"/>
      <c r="P113" s="240"/>
      <c r="Q113" s="240"/>
      <c r="R113" s="240"/>
      <c r="S113" s="240"/>
      <c r="T113" s="240"/>
      <c r="U113" s="240"/>
      <c r="V113" s="240"/>
      <c r="W113" s="240"/>
      <c r="X113" s="240"/>
      <c r="Y113" s="240"/>
      <c r="Z113" s="240"/>
      <c r="AA113" s="240"/>
      <c r="AB113" s="240"/>
      <c r="AC113" s="240"/>
      <c r="AD113" s="240"/>
      <c r="AE113" s="240"/>
      <c r="AF113" s="240"/>
      <c r="AG113" s="240"/>
      <c r="AH113" s="240"/>
      <c r="AI113" s="240"/>
      <c r="AJ113" s="240"/>
      <c r="AK113" s="13"/>
      <c r="AL113" s="13"/>
      <c r="AM113" s="13"/>
      <c r="AN113" s="13"/>
      <c r="AO113" s="13"/>
      <c r="AP113" s="13"/>
      <c r="AQ113" s="13"/>
      <c r="AR113" s="13"/>
      <c r="AS113" s="13"/>
      <c r="AT113" s="13"/>
      <c r="AU113" s="13"/>
      <c r="AV113" s="13"/>
      <c r="AW113" s="13"/>
      <c r="AX113" s="14"/>
      <c r="AY113" s="14"/>
      <c r="AZ113" s="14"/>
      <c r="BA113" s="14"/>
      <c r="BB113" s="14"/>
      <c r="BC113" s="14"/>
      <c r="BD113" s="14"/>
      <c r="BE113" s="14"/>
      <c r="BF113" s="14"/>
      <c r="BG113" s="14"/>
      <c r="BH113" s="14"/>
      <c r="BI113" s="14"/>
      <c r="BJ113" s="14"/>
    </row>
    <row r="114" spans="1:62" customFormat="1" ht="25.5" customHeight="1">
      <c r="A114" s="236" t="s">
        <v>4</v>
      </c>
      <c r="B114" s="419" t="str">
        <f>Vertaling!B87</f>
      </c>
      <c r="C114" s="419"/>
      <c r="D114" s="419"/>
      <c r="E114" s="263" t="str">
        <f>Vertaling!$B$147</f>
      </c>
      <c r="F114" s="279">
        <f>IF(DATA!B78="",0,DATA!B78)</f>
      </c>
      <c r="G114" s="1"/>
      <c r="H114" s="240"/>
      <c r="I114" s="240"/>
      <c r="J114" s="240"/>
      <c r="K114" s="240"/>
      <c r="L114" s="240"/>
      <c r="M114" s="240"/>
      <c r="N114" s="240"/>
      <c r="O114" s="240"/>
      <c r="P114" s="240"/>
      <c r="Q114" s="240"/>
      <c r="R114" s="240"/>
      <c r="S114" s="240"/>
      <c r="T114" s="240"/>
      <c r="U114" s="240"/>
      <c r="V114" s="240"/>
      <c r="W114" s="240"/>
      <c r="X114" s="240"/>
      <c r="Y114" s="240"/>
      <c r="Z114" s="240"/>
      <c r="AA114" s="240"/>
      <c r="AB114" s="240"/>
      <c r="AC114" s="240"/>
      <c r="AD114" s="240"/>
      <c r="AE114" s="240"/>
      <c r="AF114" s="240"/>
      <c r="AG114" s="240"/>
      <c r="AH114" s="240"/>
      <c r="AI114" s="240"/>
      <c r="AJ114" s="240"/>
      <c r="AK114" s="13"/>
      <c r="AL114" s="13"/>
      <c r="AM114" s="13"/>
      <c r="AN114" s="13"/>
      <c r="AO114" s="13"/>
      <c r="AP114" s="13"/>
      <c r="AQ114" s="13"/>
      <c r="AR114" s="13"/>
      <c r="AS114" s="13"/>
      <c r="AT114" s="13"/>
      <c r="AU114" s="13"/>
      <c r="AV114" s="13"/>
      <c r="AW114" s="13"/>
      <c r="AX114" s="14"/>
      <c r="AY114" s="14"/>
      <c r="AZ114" s="14"/>
      <c r="BA114" s="14"/>
      <c r="BB114" s="14"/>
      <c r="BC114" s="14"/>
      <c r="BD114" s="14"/>
      <c r="BE114" s="14"/>
      <c r="BF114" s="14"/>
      <c r="BG114" s="14"/>
      <c r="BH114" s="14"/>
      <c r="BI114" s="14"/>
      <c r="BJ114" s="14"/>
    </row>
    <row r="115" spans="1:62" customFormat="1" ht="7.5" customHeight="1">
      <c r="A115" s="236"/>
      <c r="B115" s="353"/>
      <c r="C115" s="271"/>
      <c r="D115" s="1"/>
      <c r="E115" s="263"/>
      <c r="F115" s="247"/>
      <c r="G115" s="1"/>
      <c r="H115" s="240"/>
      <c r="I115" s="240"/>
      <c r="J115" s="240"/>
      <c r="K115" s="240"/>
      <c r="L115" s="240"/>
      <c r="M115" s="240"/>
      <c r="N115" s="240"/>
      <c r="O115" s="240"/>
      <c r="P115" s="240"/>
      <c r="Q115" s="240"/>
      <c r="R115" s="240"/>
      <c r="S115" s="240"/>
      <c r="T115" s="240"/>
      <c r="U115" s="240"/>
      <c r="V115" s="240"/>
      <c r="W115" s="240"/>
      <c r="X115" s="240"/>
      <c r="Y115" s="240"/>
      <c r="Z115" s="240"/>
      <c r="AA115" s="240"/>
      <c r="AB115" s="240"/>
      <c r="AC115" s="240"/>
      <c r="AD115" s="240"/>
      <c r="AE115" s="240"/>
      <c r="AF115" s="240"/>
      <c r="AG115" s="240"/>
      <c r="AH115" s="240"/>
      <c r="AI115" s="240"/>
      <c r="AJ115" s="240"/>
      <c r="AK115" s="13"/>
      <c r="AL115" s="13"/>
      <c r="AM115" s="13"/>
      <c r="AN115" s="13"/>
      <c r="AO115" s="13"/>
      <c r="AP115" s="13"/>
      <c r="AQ115" s="13"/>
      <c r="AR115" s="13"/>
      <c r="AS115" s="13"/>
      <c r="AT115" s="13"/>
      <c r="AU115" s="13"/>
      <c r="AV115" s="13"/>
      <c r="AW115" s="13"/>
      <c r="AX115" s="14"/>
      <c r="AY115" s="14"/>
      <c r="AZ115" s="14"/>
      <c r="BA115" s="14"/>
      <c r="BB115" s="14"/>
      <c r="BC115" s="14"/>
      <c r="BD115" s="14"/>
      <c r="BE115" s="14"/>
      <c r="BF115" s="14"/>
      <c r="BG115" s="14"/>
      <c r="BH115" s="14"/>
      <c r="BI115" s="14"/>
      <c r="BJ115" s="14"/>
    </row>
    <row r="116" spans="1:62" customFormat="1" ht="27" customHeight="1">
      <c r="A116" s="236" t="s">
        <v>4</v>
      </c>
      <c r="B116" s="353" t="str">
        <f>Vertaling!B88</f>
      </c>
      <c r="C116" s="271"/>
      <c r="D116" s="1"/>
      <c r="E116" s="263" t="str">
        <f>Vertaling!$B$150</f>
      </c>
      <c r="F116" s="285">
        <f>SUMIFS(F94:F102,D94:D102,dropdowns!$B$76)*0.22+F114*0.22+SUMIFS(F103:F104,D103:D104,dropdowns!$B$76)*0.22+SUMIFS(F105:F106,D105:D106,dropdowns!$B$76)*0.22+SUMIFS(F94:F102,D94:D102,"")*0.22+SUMIFS(F103:F104,D103:D104,"")*0.22+SUMIFS(F105:F106,D105:D106,"")*0.22</f>
      </c>
      <c r="G116" s="416"/>
      <c r="H116" s="240"/>
      <c r="I116" s="240"/>
      <c r="J116" s="240"/>
      <c r="K116" s="240"/>
      <c r="L116" s="240"/>
      <c r="M116" s="240"/>
      <c r="N116" s="240"/>
      <c r="O116" s="240"/>
      <c r="P116" s="240"/>
      <c r="Q116" s="240"/>
      <c r="R116" s="240"/>
      <c r="S116" s="240"/>
      <c r="T116" s="240"/>
      <c r="U116" s="240"/>
      <c r="V116" s="240"/>
      <c r="W116" s="240"/>
      <c r="X116" s="240"/>
      <c r="Y116" s="240"/>
      <c r="Z116" s="240"/>
      <c r="AA116" s="240"/>
      <c r="AB116" s="240"/>
      <c r="AC116" s="240"/>
      <c r="AD116" s="240"/>
      <c r="AE116" s="240"/>
      <c r="AF116" s="240"/>
      <c r="AG116" s="240"/>
      <c r="AH116" s="240"/>
      <c r="AI116" s="240"/>
      <c r="AJ116" s="240"/>
      <c r="AK116" s="13"/>
      <c r="AL116" s="13"/>
      <c r="AM116" s="13"/>
      <c r="AN116" s="13"/>
      <c r="AO116" s="13"/>
      <c r="AP116" s="13"/>
      <c r="AQ116" s="13"/>
      <c r="AR116" s="13"/>
      <c r="AS116" s="13"/>
      <c r="AT116" s="13"/>
      <c r="AU116" s="13"/>
      <c r="AV116" s="13"/>
      <c r="AW116" s="13"/>
      <c r="AX116" s="14"/>
      <c r="AY116" s="14"/>
      <c r="AZ116" s="14"/>
      <c r="BA116" s="14"/>
      <c r="BB116" s="14"/>
      <c r="BC116" s="14"/>
      <c r="BD116" s="14"/>
      <c r="BE116" s="14"/>
      <c r="BF116" s="14"/>
      <c r="BG116" s="14"/>
      <c r="BH116" s="14"/>
      <c r="BI116" s="14"/>
      <c r="BJ116" s="14"/>
    </row>
    <row r="117" spans="1:62" customFormat="1" ht="7.5" customHeight="1">
      <c r="A117" s="70"/>
      <c r="B117" s="353"/>
      <c r="C117" s="271"/>
      <c r="D117" s="1"/>
      <c r="E117" s="265"/>
      <c r="F117" s="1"/>
      <c r="G117" s="1"/>
      <c r="H117" s="240"/>
      <c r="I117" s="240"/>
      <c r="J117" s="240"/>
      <c r="K117" s="240"/>
      <c r="L117" s="240"/>
      <c r="M117" s="240"/>
      <c r="N117" s="240"/>
      <c r="O117" s="240"/>
      <c r="P117" s="240"/>
      <c r="Q117" s="240"/>
      <c r="R117" s="240"/>
      <c r="S117" s="240"/>
      <c r="T117" s="240"/>
      <c r="U117" s="240"/>
      <c r="V117" s="240"/>
      <c r="W117" s="240"/>
      <c r="X117" s="240"/>
      <c r="Y117" s="240"/>
      <c r="Z117" s="240"/>
      <c r="AA117" s="240"/>
      <c r="AB117" s="240"/>
      <c r="AC117" s="240"/>
      <c r="AD117" s="240"/>
      <c r="AE117" s="240"/>
      <c r="AF117" s="240"/>
      <c r="AG117" s="240"/>
      <c r="AH117" s="240"/>
      <c r="AI117" s="240"/>
      <c r="AJ117" s="240"/>
      <c r="AK117" s="13"/>
      <c r="AL117" s="13"/>
      <c r="AM117" s="13"/>
      <c r="AN117" s="13"/>
      <c r="AO117" s="13"/>
      <c r="AP117" s="13"/>
      <c r="AQ117" s="13"/>
      <c r="AR117" s="13"/>
      <c r="AS117" s="13"/>
      <c r="AT117" s="13"/>
      <c r="AU117" s="13"/>
      <c r="AV117" s="13"/>
      <c r="AW117" s="13"/>
      <c r="AX117" s="14"/>
      <c r="AY117" s="14"/>
      <c r="AZ117" s="14"/>
      <c r="BA117" s="14"/>
      <c r="BB117" s="14"/>
      <c r="BC117" s="14"/>
      <c r="BD117" s="14"/>
      <c r="BE117" s="14"/>
      <c r="BF117" s="14"/>
      <c r="BG117" s="14"/>
      <c r="BH117" s="14"/>
      <c r="BI117" s="14"/>
      <c r="BJ117" s="14"/>
    </row>
    <row r="118" spans="1:62" customFormat="1" ht="12.75">
      <c r="A118" s="236" t="s">
        <v>4</v>
      </c>
      <c r="B118" s="353" t="str">
        <f>Vertaling!B89</f>
      </c>
      <c r="C118" s="271"/>
      <c r="D118" s="1"/>
      <c r="E118" s="263" t="str">
        <f>Vertaling!$B$147</f>
      </c>
      <c r="F118" s="282">
        <f>IF(DATA!B80="",0,DATA!B80)</f>
      </c>
      <c r="G118" s="1"/>
      <c r="H118" s="240"/>
      <c r="I118" s="240"/>
      <c r="J118" s="240"/>
      <c r="K118" s="240"/>
      <c r="L118" s="240"/>
      <c r="M118" s="240"/>
      <c r="N118" s="240"/>
      <c r="O118" s="240"/>
      <c r="P118" s="240"/>
      <c r="Q118" s="240"/>
      <c r="R118" s="240"/>
      <c r="S118" s="240"/>
      <c r="T118" s="240"/>
      <c r="U118" s="240"/>
      <c r="V118" s="240"/>
      <c r="W118" s="240"/>
      <c r="X118" s="240"/>
      <c r="Y118" s="240"/>
      <c r="Z118" s="240"/>
      <c r="AA118" s="240"/>
      <c r="AB118" s="240"/>
      <c r="AC118" s="240"/>
      <c r="AD118" s="240"/>
      <c r="AE118" s="240"/>
      <c r="AF118" s="240"/>
      <c r="AG118" s="240"/>
      <c r="AH118" s="240"/>
      <c r="AI118" s="240"/>
      <c r="AJ118" s="240"/>
      <c r="AK118" s="13"/>
      <c r="AL118" s="13"/>
      <c r="AM118" s="13"/>
      <c r="AN118" s="13"/>
      <c r="AO118" s="13"/>
      <c r="AP118" s="13"/>
      <c r="AQ118" s="13"/>
      <c r="AR118" s="13"/>
      <c r="AS118" s="13"/>
      <c r="AT118" s="13"/>
      <c r="AU118" s="13"/>
      <c r="AV118" s="13"/>
      <c r="AW118" s="13"/>
      <c r="AX118" s="14"/>
      <c r="AY118" s="14"/>
      <c r="AZ118" s="14"/>
      <c r="BA118" s="14"/>
      <c r="BB118" s="14"/>
      <c r="BC118" s="14"/>
      <c r="BD118" s="14"/>
      <c r="BE118" s="14"/>
      <c r="BF118" s="14"/>
      <c r="BG118" s="14"/>
      <c r="BH118" s="14"/>
      <c r="BI118" s="14"/>
      <c r="BJ118" s="14"/>
    </row>
    <row r="119" spans="1:62" customFormat="1" ht="12.75">
      <c r="A119" s="70"/>
      <c r="B119" s="353"/>
      <c r="C119" s="271"/>
      <c r="D119" s="1"/>
      <c r="E119" s="265"/>
      <c r="F119" s="1"/>
      <c r="G119" s="1"/>
      <c r="H119" s="240"/>
      <c r="I119" s="240"/>
      <c r="J119" s="240"/>
      <c r="K119" s="240"/>
      <c r="L119" s="240"/>
      <c r="M119" s="240"/>
      <c r="N119" s="240"/>
      <c r="O119" s="240"/>
      <c r="P119" s="240"/>
      <c r="Q119" s="240"/>
      <c r="R119" s="240"/>
      <c r="S119" s="240"/>
      <c r="T119" s="240"/>
      <c r="U119" s="240"/>
      <c r="V119" s="240"/>
      <c r="W119" s="240"/>
      <c r="X119" s="240"/>
      <c r="Y119" s="240"/>
      <c r="Z119" s="240"/>
      <c r="AA119" s="240"/>
      <c r="AB119" s="240"/>
      <c r="AC119" s="240"/>
      <c r="AD119" s="240"/>
      <c r="AE119" s="240"/>
      <c r="AF119" s="240"/>
      <c r="AG119" s="240"/>
      <c r="AH119" s="240"/>
      <c r="AI119" s="240"/>
      <c r="AJ119" s="240"/>
      <c r="AK119" s="13"/>
      <c r="AL119" s="13"/>
      <c r="AM119" s="13"/>
      <c r="AN119" s="13"/>
      <c r="AO119" s="13"/>
      <c r="AP119" s="13"/>
      <c r="AQ119" s="13"/>
      <c r="AR119" s="13"/>
      <c r="AS119" s="13"/>
      <c r="AT119" s="13"/>
      <c r="AU119" s="13"/>
      <c r="AV119" s="13"/>
      <c r="AW119" s="13"/>
      <c r="AX119" s="14"/>
      <c r="AY119" s="14"/>
      <c r="AZ119" s="14"/>
      <c r="BA119" s="14"/>
      <c r="BB119" s="14"/>
      <c r="BC119" s="14"/>
      <c r="BD119" s="14"/>
      <c r="BE119" s="14"/>
      <c r="BF119" s="14"/>
      <c r="BG119" s="14"/>
      <c r="BH119" s="14"/>
      <c r="BI119" s="14"/>
      <c r="BJ119" s="14"/>
    </row>
    <row r="120" spans="1:62" customFormat="1" ht="12.75">
      <c r="A120" s="70"/>
      <c r="B120" s="234" t="str">
        <f>Vertaling!B90</f>
      </c>
      <c r="C120" s="271"/>
      <c r="D120" s="1"/>
      <c r="E120" s="268"/>
      <c r="F120" s="261" t="str">
        <f>Vertaling!$B$146</f>
      </c>
      <c r="G120" s="1"/>
      <c r="H120" s="240"/>
      <c r="I120" s="240"/>
      <c r="J120" s="240"/>
      <c r="K120" s="240"/>
      <c r="L120" s="240"/>
      <c r="M120" s="240"/>
      <c r="N120" s="240"/>
      <c r="O120" s="240"/>
      <c r="P120" s="240"/>
      <c r="Q120" s="240"/>
      <c r="R120" s="240"/>
      <c r="S120" s="240"/>
      <c r="T120" s="240"/>
      <c r="U120" s="240"/>
      <c r="V120" s="240"/>
      <c r="W120" s="240"/>
      <c r="X120" s="240"/>
      <c r="Y120" s="240"/>
      <c r="Z120" s="240"/>
      <c r="AA120" s="240"/>
      <c r="AB120" s="240"/>
      <c r="AC120" s="240"/>
      <c r="AD120" s="240"/>
      <c r="AE120" s="240"/>
      <c r="AF120" s="240"/>
      <c r="AG120" s="240"/>
      <c r="AH120" s="240"/>
      <c r="AI120" s="240"/>
      <c r="AJ120" s="240"/>
      <c r="AK120" s="13"/>
      <c r="AL120" s="13"/>
      <c r="AM120" s="13"/>
      <c r="AN120" s="13"/>
      <c r="AO120" s="13"/>
      <c r="AP120" s="13"/>
      <c r="AQ120" s="13"/>
      <c r="AR120" s="13"/>
      <c r="AS120" s="13"/>
      <c r="AT120" s="13"/>
      <c r="AU120" s="13"/>
      <c r="AV120" s="13"/>
      <c r="AW120" s="13"/>
      <c r="AX120" s="14"/>
      <c r="AY120" s="14"/>
      <c r="AZ120" s="14"/>
      <c r="BA120" s="14"/>
      <c r="BB120" s="14"/>
      <c r="BC120" s="14"/>
      <c r="BD120" s="14"/>
      <c r="BE120" s="14"/>
      <c r="BF120" s="14"/>
      <c r="BG120" s="14"/>
      <c r="BH120" s="14"/>
      <c r="BI120" s="14"/>
      <c r="BJ120" s="14"/>
    </row>
    <row r="121" spans="1:62" customFormat="1" ht="12.75">
      <c r="A121" s="91" t="str">
        <f>CONCATENATE(LEFT(A91,2)+1,".")</f>
      </c>
      <c r="B121" s="353" t="str">
        <f>Vertaling!B91</f>
      </c>
      <c r="C121" s="271"/>
      <c r="D121" s="1"/>
      <c r="E121" s="263" t="str">
        <f>Vertaling!$B$147</f>
      </c>
      <c r="F121" s="282">
        <f>IF(DATA!$B$81="",0,DATA!$B$81)</f>
      </c>
      <c r="G121" s="1"/>
      <c r="H121" s="240"/>
      <c r="I121" s="240"/>
      <c r="J121" s="240"/>
      <c r="K121" s="240"/>
      <c r="L121" s="240"/>
      <c r="M121" s="240"/>
      <c r="N121" s="240"/>
      <c r="O121" s="240"/>
      <c r="P121" s="240"/>
      <c r="Q121" s="240"/>
      <c r="R121" s="240"/>
      <c r="S121" s="240"/>
      <c r="T121" s="240"/>
      <c r="U121" s="240"/>
      <c r="V121" s="240"/>
      <c r="W121" s="240"/>
      <c r="X121" s="240"/>
      <c r="Y121" s="240"/>
      <c r="Z121" s="240"/>
      <c r="AA121" s="240"/>
      <c r="AB121" s="240"/>
      <c r="AC121" s="240"/>
      <c r="AD121" s="240"/>
      <c r="AE121" s="240"/>
      <c r="AF121" s="240"/>
      <c r="AG121" s="240"/>
      <c r="AH121" s="240"/>
      <c r="AI121" s="240"/>
      <c r="AJ121" s="240"/>
      <c r="AK121" s="13"/>
      <c r="AL121" s="13"/>
      <c r="AM121" s="13"/>
      <c r="AN121" s="13"/>
      <c r="AO121" s="13"/>
      <c r="AP121" s="13"/>
      <c r="AQ121" s="13"/>
      <c r="AR121" s="13"/>
      <c r="AS121" s="13"/>
      <c r="AT121" s="13"/>
      <c r="AU121" s="13"/>
      <c r="AV121" s="13"/>
      <c r="AW121" s="13"/>
      <c r="AX121" s="14"/>
      <c r="AY121" s="14"/>
      <c r="AZ121" s="14"/>
      <c r="BA121" s="14"/>
      <c r="BB121" s="14"/>
      <c r="BC121" s="14"/>
      <c r="BD121" s="14"/>
      <c r="BE121" s="14"/>
      <c r="BF121" s="14"/>
      <c r="BG121" s="14"/>
      <c r="BH121" s="14"/>
      <c r="BI121" s="14"/>
      <c r="BJ121" s="14"/>
    </row>
    <row r="122" spans="1:62" customFormat="1" ht="12.75">
      <c r="A122" s="91"/>
      <c r="B122" s="353"/>
      <c r="C122" s="271"/>
      <c r="D122" s="1"/>
      <c r="E122" s="265"/>
      <c r="F122" s="353"/>
      <c r="G122" s="1"/>
      <c r="H122" s="240"/>
      <c r="I122" s="240"/>
      <c r="J122" s="240"/>
      <c r="K122" s="240"/>
      <c r="L122" s="240"/>
      <c r="M122" s="240"/>
      <c r="N122" s="240"/>
      <c r="O122" s="240"/>
      <c r="P122" s="240"/>
      <c r="Q122" s="240"/>
      <c r="R122" s="240"/>
      <c r="S122" s="240"/>
      <c r="T122" s="240"/>
      <c r="U122" s="240"/>
      <c r="V122" s="240"/>
      <c r="W122" s="240"/>
      <c r="X122" s="240"/>
      <c r="Y122" s="240"/>
      <c r="Z122" s="240"/>
      <c r="AA122" s="240"/>
      <c r="AB122" s="240"/>
      <c r="AC122" s="240"/>
      <c r="AD122" s="240"/>
      <c r="AE122" s="240"/>
      <c r="AF122" s="240"/>
      <c r="AG122" s="240"/>
      <c r="AH122" s="240"/>
      <c r="AI122" s="240"/>
      <c r="AJ122" s="240"/>
      <c r="AK122" s="13"/>
      <c r="AL122" s="13"/>
      <c r="AM122" s="13"/>
      <c r="AN122" s="13"/>
      <c r="AO122" s="13"/>
      <c r="AP122" s="13"/>
      <c r="AQ122" s="13"/>
      <c r="AR122" s="13"/>
      <c r="AS122" s="13"/>
      <c r="AT122" s="13"/>
      <c r="AU122" s="13"/>
      <c r="AV122" s="13"/>
      <c r="AW122" s="13"/>
      <c r="AX122" s="14"/>
      <c r="AY122" s="14"/>
      <c r="AZ122" s="14"/>
      <c r="BA122" s="14"/>
      <c r="BB122" s="14"/>
      <c r="BC122" s="14"/>
      <c r="BD122" s="14"/>
      <c r="BE122" s="14"/>
      <c r="BF122" s="14"/>
      <c r="BG122" s="14"/>
      <c r="BH122" s="14"/>
      <c r="BI122" s="14"/>
      <c r="BJ122" s="14"/>
    </row>
    <row r="123" spans="1:62" customFormat="1" ht="16.5" customHeight="1">
      <c r="A123" s="91" t="str">
        <f>CONCATENATE(LEFT(A121,2)+1,".")</f>
      </c>
      <c r="B123" s="418" t="str">
        <f>Vertaling!B92</f>
      </c>
      <c r="C123" s="418"/>
      <c r="D123" s="418"/>
      <c r="E123" s="263" t="str">
        <f>Vertaling!$B$147</f>
      </c>
      <c r="F123" s="282">
        <f>IF(DATA!$B$82="",0,DATA!$B$82)</f>
      </c>
      <c r="G123" s="1"/>
      <c r="H123" s="240"/>
      <c r="I123" s="240"/>
      <c r="J123" s="240"/>
      <c r="K123" s="240"/>
      <c r="L123" s="240"/>
      <c r="M123" s="240"/>
      <c r="N123" s="240"/>
      <c r="O123" s="240"/>
      <c r="P123" s="240"/>
      <c r="Q123" s="240"/>
      <c r="R123" s="240"/>
      <c r="S123" s="240"/>
      <c r="T123" s="240"/>
      <c r="U123" s="240"/>
      <c r="V123" s="240"/>
      <c r="W123" s="240"/>
      <c r="X123" s="240"/>
      <c r="Y123" s="240"/>
      <c r="Z123" s="240"/>
      <c r="AA123" s="240"/>
      <c r="AB123" s="240"/>
      <c r="AC123" s="240"/>
      <c r="AD123" s="240"/>
      <c r="AE123" s="240"/>
      <c r="AF123" s="240"/>
      <c r="AG123" s="240"/>
      <c r="AH123" s="240"/>
      <c r="AI123" s="240"/>
      <c r="AJ123" s="240"/>
      <c r="AK123" s="13"/>
      <c r="AL123" s="13"/>
      <c r="AM123" s="13"/>
      <c r="AN123" s="13"/>
      <c r="AO123" s="13"/>
      <c r="AP123" s="13"/>
      <c r="AQ123" s="13"/>
      <c r="AR123" s="13"/>
      <c r="AS123" s="13"/>
      <c r="AT123" s="13"/>
      <c r="AU123" s="13"/>
      <c r="AV123" s="13"/>
      <c r="AW123" s="13"/>
      <c r="AX123" s="14"/>
      <c r="AY123" s="14"/>
      <c r="AZ123" s="14"/>
      <c r="BA123" s="14"/>
      <c r="BB123" s="14"/>
      <c r="BC123" s="14"/>
      <c r="BD123" s="14"/>
      <c r="BE123" s="14"/>
      <c r="BF123" s="14"/>
      <c r="BG123" s="14"/>
      <c r="BH123" s="14"/>
      <c r="BI123" s="14"/>
      <c r="BJ123" s="14"/>
    </row>
    <row r="124" spans="1:62" customFormat="1" ht="7.5" customHeight="1">
      <c r="A124" s="91"/>
      <c r="B124" s="353"/>
      <c r="C124" s="271"/>
      <c r="D124" s="1"/>
      <c r="E124" s="263"/>
      <c r="F124" s="237"/>
      <c r="G124" s="1"/>
      <c r="H124" s="240"/>
      <c r="I124" s="240"/>
      <c r="J124" s="240"/>
      <c r="K124" s="240"/>
      <c r="L124" s="240"/>
      <c r="M124" s="240"/>
      <c r="N124" s="240"/>
      <c r="O124" s="240"/>
      <c r="P124" s="240"/>
      <c r="Q124" s="240"/>
      <c r="R124" s="240"/>
      <c r="S124" s="240"/>
      <c r="T124" s="240"/>
      <c r="U124" s="240"/>
      <c r="V124" s="240"/>
      <c r="W124" s="240"/>
      <c r="X124" s="240"/>
      <c r="Y124" s="240"/>
      <c r="Z124" s="240"/>
      <c r="AA124" s="240"/>
      <c r="AB124" s="240"/>
      <c r="AC124" s="240"/>
      <c r="AD124" s="240"/>
      <c r="AE124" s="240"/>
      <c r="AF124" s="240"/>
      <c r="AG124" s="240"/>
      <c r="AH124" s="240"/>
      <c r="AI124" s="240"/>
      <c r="AJ124" s="240"/>
      <c r="AK124" s="13"/>
      <c r="AL124" s="13"/>
      <c r="AM124" s="13"/>
      <c r="AN124" s="13"/>
      <c r="AO124" s="13"/>
      <c r="AP124" s="13"/>
      <c r="AQ124" s="13"/>
      <c r="AR124" s="13"/>
      <c r="AS124" s="13"/>
      <c r="AT124" s="13"/>
      <c r="AU124" s="13"/>
      <c r="AV124" s="13"/>
      <c r="AW124" s="13"/>
      <c r="AX124" s="14"/>
      <c r="AY124" s="14"/>
      <c r="AZ124" s="14"/>
      <c r="BA124" s="14"/>
      <c r="BB124" s="14"/>
      <c r="BC124" s="14"/>
      <c r="BD124" s="14"/>
      <c r="BE124" s="14"/>
      <c r="BF124" s="14"/>
      <c r="BG124" s="14"/>
      <c r="BH124" s="14"/>
      <c r="BI124" s="14"/>
      <c r="BJ124" s="14"/>
    </row>
    <row r="125" spans="1:62" customFormat="1" ht="16.5" customHeight="1">
      <c r="A125" s="91"/>
      <c r="B125" s="418" t="str">
        <f>Vertaling!B93</f>
      </c>
      <c r="C125" s="418"/>
      <c r="D125" s="418"/>
      <c r="E125" s="264" t="str">
        <f>Vertaling!B151</f>
      </c>
      <c r="F125" s="282">
        <f>IF(B125="",0,IF(DATA!$B$83="",0,DATA!$B$83))</f>
      </c>
      <c r="G125" s="250" t="str">
        <f>IF(F123&gt;0,F125*12/F123,"")</f>
      </c>
      <c r="H125" s="240"/>
      <c r="I125" s="240"/>
      <c r="J125" s="240"/>
      <c r="K125" s="240"/>
      <c r="L125" s="240"/>
      <c r="M125" s="240"/>
      <c r="N125" s="240"/>
      <c r="O125" s="240"/>
      <c r="P125" s="240"/>
      <c r="Q125" s="240"/>
      <c r="R125" s="240"/>
      <c r="S125" s="240"/>
      <c r="T125" s="240"/>
      <c r="U125" s="240"/>
      <c r="V125" s="240"/>
      <c r="W125" s="240"/>
      <c r="X125" s="240"/>
      <c r="Y125" s="240"/>
      <c r="Z125" s="240"/>
      <c r="AA125" s="240"/>
      <c r="AB125" s="240"/>
      <c r="AC125" s="240"/>
      <c r="AD125" s="240"/>
      <c r="AE125" s="240"/>
      <c r="AF125" s="240"/>
      <c r="AG125" s="240"/>
      <c r="AH125" s="240"/>
      <c r="AI125" s="240"/>
      <c r="AJ125" s="240"/>
      <c r="AK125" s="13"/>
      <c r="AL125" s="13"/>
      <c r="AM125" s="13"/>
      <c r="AN125" s="13"/>
      <c r="AO125" s="13"/>
      <c r="AP125" s="13"/>
      <c r="AQ125" s="13"/>
      <c r="AR125" s="13"/>
      <c r="AS125" s="13"/>
      <c r="AT125" s="13"/>
      <c r="AU125" s="13"/>
      <c r="AV125" s="13"/>
      <c r="AW125" s="13"/>
      <c r="AX125" s="14"/>
      <c r="AY125" s="14"/>
      <c r="AZ125" s="14"/>
      <c r="BA125" s="14"/>
      <c r="BB125" s="14"/>
      <c r="BC125" s="14"/>
      <c r="BD125" s="14"/>
      <c r="BE125" s="14"/>
      <c r="BF125" s="14"/>
      <c r="BG125" s="14"/>
      <c r="BH125" s="14"/>
      <c r="BI125" s="14"/>
      <c r="BJ125" s="14"/>
    </row>
    <row r="126" spans="1:62" customFormat="1" ht="7.5" customHeight="1">
      <c r="A126" s="236"/>
      <c r="B126" s="353"/>
      <c r="C126" s="264"/>
      <c r="D126" s="237"/>
      <c r="E126" s="263"/>
      <c r="F126" s="247"/>
      <c r="G126" s="237"/>
      <c r="H126" s="240"/>
      <c r="I126" s="240"/>
      <c r="J126" s="240"/>
      <c r="K126" s="240"/>
      <c r="L126" s="240"/>
      <c r="M126" s="240"/>
      <c r="N126" s="240"/>
      <c r="O126" s="240"/>
      <c r="P126" s="240"/>
      <c r="Q126" s="240"/>
      <c r="R126" s="240"/>
      <c r="S126" s="240"/>
      <c r="T126" s="240"/>
      <c r="U126" s="240"/>
      <c r="V126" s="240"/>
      <c r="W126" s="240"/>
      <c r="X126" s="240"/>
      <c r="Y126" s="240"/>
      <c r="Z126" s="240"/>
      <c r="AA126" s="240"/>
      <c r="AB126" s="240"/>
      <c r="AC126" s="240"/>
      <c r="AD126" s="240"/>
      <c r="AE126" s="240"/>
      <c r="AF126" s="240"/>
      <c r="AG126" s="240"/>
      <c r="AH126" s="240"/>
      <c r="AI126" s="240"/>
      <c r="AJ126" s="240"/>
      <c r="AK126" s="13"/>
      <c r="AL126" s="13"/>
      <c r="AM126" s="13"/>
      <c r="AN126" s="13"/>
      <c r="AO126" s="13"/>
      <c r="AP126" s="13"/>
      <c r="AQ126" s="13"/>
      <c r="AR126" s="13"/>
      <c r="AS126" s="13"/>
      <c r="AT126" s="13"/>
      <c r="AU126" s="13"/>
      <c r="AV126" s="13"/>
      <c r="AW126" s="13"/>
      <c r="AX126" s="14"/>
      <c r="AY126" s="14"/>
      <c r="AZ126" s="14"/>
      <c r="BA126" s="14"/>
      <c r="BB126" s="14"/>
      <c r="BC126" s="14"/>
      <c r="BD126" s="14"/>
      <c r="BE126" s="14"/>
      <c r="BF126" s="14"/>
      <c r="BG126" s="14"/>
      <c r="BH126" s="14"/>
      <c r="BI126" s="14"/>
      <c r="BJ126" s="14"/>
    </row>
    <row r="127" spans="1:62" customFormat="1" ht="16.5" customHeight="1">
      <c r="A127" s="91"/>
      <c r="B127" s="418" t="str">
        <f>Vertaling!B94</f>
      </c>
      <c r="C127" s="418"/>
      <c r="D127" s="418"/>
      <c r="E127" s="264" t="str">
        <f>Vertaling!B152</f>
      </c>
      <c r="F127" s="282">
        <f>IF(B127="",0,IF(DATA!$B$84="",0,DATA!$B$84))</f>
      </c>
      <c r="G127" s="237"/>
      <c r="H127" s="240"/>
      <c r="I127" s="240"/>
      <c r="J127" s="240"/>
      <c r="K127" s="240"/>
      <c r="L127" s="240"/>
      <c r="M127" s="240"/>
      <c r="N127" s="240"/>
      <c r="O127" s="240"/>
      <c r="P127" s="240"/>
      <c r="Q127" s="240"/>
      <c r="R127" s="240"/>
      <c r="S127" s="240"/>
      <c r="T127" s="240"/>
      <c r="U127" s="240"/>
      <c r="V127" s="240"/>
      <c r="W127" s="240"/>
      <c r="X127" s="240"/>
      <c r="Y127" s="240"/>
      <c r="Z127" s="240"/>
      <c r="AA127" s="240"/>
      <c r="AB127" s="240"/>
      <c r="AC127" s="240"/>
      <c r="AD127" s="240"/>
      <c r="AE127" s="240"/>
      <c r="AF127" s="240"/>
      <c r="AG127" s="240"/>
      <c r="AH127" s="240"/>
      <c r="AI127" s="240"/>
      <c r="AJ127" s="240"/>
      <c r="AK127" s="13"/>
      <c r="AL127" s="13"/>
      <c r="AM127" s="13"/>
      <c r="AN127" s="13"/>
      <c r="AO127" s="13"/>
      <c r="AP127" s="13"/>
      <c r="AQ127" s="13"/>
      <c r="AR127" s="13"/>
      <c r="AS127" s="13"/>
      <c r="AT127" s="13"/>
      <c r="AU127" s="13"/>
      <c r="AV127" s="13"/>
      <c r="AW127" s="13"/>
      <c r="AX127" s="14"/>
      <c r="AY127" s="14"/>
      <c r="AZ127" s="14"/>
      <c r="BA127" s="14"/>
      <c r="BB127" s="14"/>
      <c r="BC127" s="14"/>
      <c r="BD127" s="14"/>
      <c r="BE127" s="14"/>
      <c r="BF127" s="14"/>
      <c r="BG127" s="14"/>
      <c r="BH127" s="14"/>
      <c r="BI127" s="14"/>
      <c r="BJ127" s="14"/>
    </row>
    <row r="128" spans="1:62" customFormat="1" ht="7.5" customHeight="1">
      <c r="A128" s="236"/>
      <c r="B128" s="353"/>
      <c r="C128" s="264"/>
      <c r="D128" s="237"/>
      <c r="E128" s="263"/>
      <c r="F128" s="247"/>
      <c r="G128" s="237"/>
      <c r="H128" s="240"/>
      <c r="I128" s="240"/>
      <c r="J128" s="240"/>
      <c r="K128" s="240"/>
      <c r="L128" s="240"/>
      <c r="M128" s="240"/>
      <c r="N128" s="240"/>
      <c r="O128" s="240"/>
      <c r="P128" s="240"/>
      <c r="Q128" s="240"/>
      <c r="R128" s="240"/>
      <c r="S128" s="240"/>
      <c r="T128" s="240"/>
      <c r="U128" s="240"/>
      <c r="V128" s="240"/>
      <c r="W128" s="240"/>
      <c r="X128" s="240"/>
      <c r="Y128" s="240"/>
      <c r="Z128" s="240"/>
      <c r="AA128" s="240"/>
      <c r="AB128" s="240"/>
      <c r="AC128" s="240"/>
      <c r="AD128" s="240"/>
      <c r="AE128" s="240"/>
      <c r="AF128" s="240"/>
      <c r="AG128" s="240"/>
      <c r="AH128" s="240"/>
      <c r="AI128" s="240"/>
      <c r="AJ128" s="240"/>
      <c r="AK128" s="13"/>
      <c r="AL128" s="13"/>
      <c r="AM128" s="13"/>
      <c r="AN128" s="13"/>
      <c r="AO128" s="13"/>
      <c r="AP128" s="13"/>
      <c r="AQ128" s="13"/>
      <c r="AR128" s="13"/>
      <c r="AS128" s="13"/>
      <c r="AT128" s="13"/>
      <c r="AU128" s="13"/>
      <c r="AV128" s="13"/>
      <c r="AW128" s="13"/>
      <c r="AX128" s="14"/>
      <c r="AY128" s="14"/>
      <c r="AZ128" s="14"/>
      <c r="BA128" s="14"/>
      <c r="BB128" s="14"/>
      <c r="BC128" s="14"/>
      <c r="BD128" s="14"/>
      <c r="BE128" s="14"/>
      <c r="BF128" s="14"/>
      <c r="BG128" s="14"/>
      <c r="BH128" s="14"/>
      <c r="BI128" s="14"/>
      <c r="BJ128" s="14"/>
    </row>
    <row r="129" spans="1:62" customFormat="1" ht="16.5" customHeight="1">
      <c r="A129" s="91"/>
      <c r="B129" s="353" t="str">
        <f>Vertaling!B95</f>
      </c>
      <c r="C129" s="274"/>
      <c r="D129" s="251"/>
      <c r="E129" s="264" t="str">
        <f>Vertaling!B153</f>
      </c>
      <c r="F129" s="283" t="str">
        <f>IF(B129="",dropdowns!$B$143,IF(DATA!$B$85="",dropdowns!$B$143,DATA!$B$85))</f>
      </c>
      <c r="G129" s="237">
        <f>IF(OR(F127="",F127=0),0,F123/F127)</f>
      </c>
      <c r="H129" s="240"/>
      <c r="I129" s="240"/>
      <c r="J129" s="240"/>
      <c r="K129" s="240"/>
      <c r="L129" s="240"/>
      <c r="M129" s="240"/>
      <c r="N129" s="240"/>
      <c r="O129" s="240"/>
      <c r="P129" s="240"/>
      <c r="Q129" s="240"/>
      <c r="R129" s="240"/>
      <c r="S129" s="240"/>
      <c r="T129" s="240"/>
      <c r="U129" s="240"/>
      <c r="V129" s="240"/>
      <c r="W129" s="240"/>
      <c r="X129" s="240"/>
      <c r="Y129" s="240"/>
      <c r="Z129" s="240"/>
      <c r="AA129" s="240"/>
      <c r="AB129" s="240"/>
      <c r="AC129" s="240"/>
      <c r="AD129" s="240"/>
      <c r="AE129" s="240"/>
      <c r="AF129" s="240"/>
      <c r="AG129" s="240"/>
      <c r="AH129" s="240"/>
      <c r="AI129" s="240"/>
      <c r="AJ129" s="240"/>
      <c r="AK129" s="13"/>
      <c r="AL129" s="13"/>
      <c r="AM129" s="13"/>
      <c r="AN129" s="13"/>
      <c r="AO129" s="13"/>
      <c r="AP129" s="13"/>
      <c r="AQ129" s="13"/>
      <c r="AR129" s="13"/>
      <c r="AS129" s="13"/>
      <c r="AT129" s="13"/>
      <c r="AU129" s="13"/>
      <c r="AV129" s="13"/>
      <c r="AW129" s="13"/>
      <c r="AX129" s="14"/>
      <c r="AY129" s="14"/>
      <c r="AZ129" s="14"/>
      <c r="BA129" s="14"/>
      <c r="BB129" s="14"/>
      <c r="BC129" s="14"/>
      <c r="BD129" s="14"/>
      <c r="BE129" s="14"/>
      <c r="BF129" s="14"/>
      <c r="BG129" s="14"/>
      <c r="BH129" s="14"/>
      <c r="BI129" s="14"/>
      <c r="BJ129" s="14"/>
    </row>
    <row r="130" spans="1:62" customFormat="1" ht="12.75">
      <c r="A130" s="91"/>
      <c r="B130" s="353"/>
      <c r="C130" s="271"/>
      <c r="D130" s="1"/>
      <c r="E130" s="265"/>
      <c r="F130" s="353"/>
      <c r="G130" s="1"/>
      <c r="H130" s="240"/>
      <c r="I130" s="240"/>
      <c r="J130" s="240"/>
      <c r="K130" s="240"/>
      <c r="L130" s="240"/>
      <c r="M130" s="240"/>
      <c r="N130" s="240"/>
      <c r="O130" s="240"/>
      <c r="P130" s="240"/>
      <c r="Q130" s="240"/>
      <c r="R130" s="240"/>
      <c r="S130" s="240"/>
      <c r="T130" s="240"/>
      <c r="U130" s="240"/>
      <c r="V130" s="240"/>
      <c r="W130" s="240"/>
      <c r="X130" s="240"/>
      <c r="Y130" s="240"/>
      <c r="Z130" s="240"/>
      <c r="AA130" s="240"/>
      <c r="AB130" s="240"/>
      <c r="AC130" s="240"/>
      <c r="AD130" s="240"/>
      <c r="AE130" s="240"/>
      <c r="AF130" s="240"/>
      <c r="AG130" s="240"/>
      <c r="AH130" s="240"/>
      <c r="AI130" s="240"/>
      <c r="AJ130" s="240"/>
      <c r="AK130" s="13"/>
      <c r="AL130" s="13"/>
      <c r="AM130" s="13"/>
      <c r="AN130" s="13"/>
      <c r="AO130" s="13"/>
      <c r="AP130" s="13"/>
      <c r="AQ130" s="13"/>
      <c r="AR130" s="13"/>
      <c r="AS130" s="13"/>
      <c r="AT130" s="13"/>
      <c r="AU130" s="13"/>
      <c r="AV130" s="13"/>
      <c r="AW130" s="13"/>
      <c r="AX130" s="14"/>
      <c r="AY130" s="14"/>
      <c r="AZ130" s="14"/>
      <c r="BA130" s="14"/>
      <c r="BB130" s="14"/>
      <c r="BC130" s="14"/>
      <c r="BD130" s="14"/>
      <c r="BE130" s="14"/>
      <c r="BF130" s="14"/>
      <c r="BG130" s="14"/>
      <c r="BH130" s="14"/>
      <c r="BI130" s="14"/>
      <c r="BJ130" s="14"/>
    </row>
    <row r="131" spans="1:62" customFormat="1" ht="16.5" customHeight="1">
      <c r="A131" s="91" t="str">
        <f>CONCATENATE(LEFT(A123,2)+1,".")</f>
      </c>
      <c r="B131" s="418" t="str">
        <f>Vertaling!B96</f>
      </c>
      <c r="C131" s="418"/>
      <c r="D131" s="418"/>
      <c r="E131" s="263" t="str">
        <f>Vertaling!$B$147</f>
      </c>
      <c r="F131" s="282">
        <f>IF(DATA!$B$86="",0,DATA!$B$86)</f>
      </c>
      <c r="G131" s="1"/>
      <c r="H131" s="240"/>
      <c r="I131" s="240"/>
      <c r="J131" s="240"/>
      <c r="K131" s="240"/>
      <c r="L131" s="240"/>
      <c r="M131" s="240"/>
      <c r="N131" s="240"/>
      <c r="O131" s="240"/>
      <c r="P131" s="240"/>
      <c r="Q131" s="240"/>
      <c r="R131" s="240"/>
      <c r="S131" s="240"/>
      <c r="T131" s="240"/>
      <c r="U131" s="240"/>
      <c r="V131" s="240"/>
      <c r="W131" s="240"/>
      <c r="X131" s="240"/>
      <c r="Y131" s="240"/>
      <c r="Z131" s="240"/>
      <c r="AA131" s="240"/>
      <c r="AB131" s="240"/>
      <c r="AC131" s="240"/>
      <c r="AD131" s="240"/>
      <c r="AE131" s="240"/>
      <c r="AF131" s="240"/>
      <c r="AG131" s="240"/>
      <c r="AH131" s="240"/>
      <c r="AI131" s="240"/>
      <c r="AJ131" s="240"/>
      <c r="AK131" s="13"/>
      <c r="AL131" s="13"/>
      <c r="AM131" s="13"/>
      <c r="AN131" s="13"/>
      <c r="AO131" s="13"/>
      <c r="AP131" s="13"/>
      <c r="AQ131" s="13"/>
      <c r="AR131" s="13"/>
      <c r="AS131" s="13"/>
      <c r="AT131" s="13"/>
      <c r="AU131" s="13"/>
      <c r="AV131" s="13"/>
      <c r="AW131" s="13"/>
      <c r="AX131" s="14"/>
      <c r="AY131" s="14"/>
      <c r="AZ131" s="14"/>
      <c r="BA131" s="14"/>
      <c r="BB131" s="14"/>
      <c r="BC131" s="14"/>
      <c r="BD131" s="14"/>
      <c r="BE131" s="14"/>
      <c r="BF131" s="14"/>
      <c r="BG131" s="14"/>
      <c r="BH131" s="14"/>
      <c r="BI131" s="14"/>
      <c r="BJ131" s="14"/>
    </row>
    <row r="132" spans="1:62" customFormat="1" ht="7.5" customHeight="1">
      <c r="A132" s="91"/>
      <c r="B132" s="353"/>
      <c r="C132" s="271"/>
      <c r="D132" s="1"/>
      <c r="E132" s="263"/>
      <c r="F132" s="237"/>
      <c r="G132" s="1"/>
      <c r="H132" s="240"/>
      <c r="I132" s="240"/>
      <c r="J132" s="240"/>
      <c r="K132" s="240"/>
      <c r="L132" s="240"/>
      <c r="M132" s="240"/>
      <c r="N132" s="240"/>
      <c r="O132" s="240"/>
      <c r="P132" s="240"/>
      <c r="Q132" s="240"/>
      <c r="R132" s="240"/>
      <c r="S132" s="240"/>
      <c r="T132" s="240"/>
      <c r="U132" s="240"/>
      <c r="V132" s="240"/>
      <c r="W132" s="240"/>
      <c r="X132" s="240"/>
      <c r="Y132" s="240"/>
      <c r="Z132" s="240"/>
      <c r="AA132" s="240"/>
      <c r="AB132" s="240"/>
      <c r="AC132" s="240"/>
      <c r="AD132" s="240"/>
      <c r="AE132" s="240"/>
      <c r="AF132" s="240"/>
      <c r="AG132" s="240"/>
      <c r="AH132" s="240"/>
      <c r="AI132" s="240"/>
      <c r="AJ132" s="240"/>
      <c r="AK132" s="13"/>
      <c r="AL132" s="13"/>
      <c r="AM132" s="13"/>
      <c r="AN132" s="13"/>
      <c r="AO132" s="13"/>
      <c r="AP132" s="13"/>
      <c r="AQ132" s="13"/>
      <c r="AR132" s="13"/>
      <c r="AS132" s="13"/>
      <c r="AT132" s="13"/>
      <c r="AU132" s="13"/>
      <c r="AV132" s="13"/>
      <c r="AW132" s="13"/>
      <c r="AX132" s="14"/>
      <c r="AY132" s="14"/>
      <c r="AZ132" s="14"/>
      <c r="BA132" s="14"/>
      <c r="BB132" s="14"/>
      <c r="BC132" s="14"/>
      <c r="BD132" s="14"/>
      <c r="BE132" s="14"/>
      <c r="BF132" s="14"/>
      <c r="BG132" s="14"/>
      <c r="BH132" s="14"/>
      <c r="BI132" s="14"/>
      <c r="BJ132" s="14"/>
    </row>
    <row r="133" spans="1:62" customFormat="1" ht="16.5" customHeight="1">
      <c r="A133" s="91"/>
      <c r="B133" s="418" t="str">
        <f>Vertaling!B97</f>
      </c>
      <c r="C133" s="418"/>
      <c r="D133" s="418"/>
      <c r="E133" s="264" t="str">
        <f>Vertaling!B154</f>
      </c>
      <c r="F133" s="282">
        <f>IF(B133="",0,IF(DATA!$B$87="",0,DATA!$B$87))</f>
      </c>
      <c r="G133" s="250" t="str">
        <f>IF(F131&gt;0,F133*12/F131,"")</f>
      </c>
      <c r="H133" s="240"/>
      <c r="I133" s="240"/>
      <c r="J133" s="240"/>
      <c r="K133" s="240"/>
      <c r="L133" s="240"/>
      <c r="M133" s="240"/>
      <c r="N133" s="240"/>
      <c r="O133" s="240"/>
      <c r="P133" s="240"/>
      <c r="Q133" s="240"/>
      <c r="R133" s="240"/>
      <c r="S133" s="240"/>
      <c r="T133" s="240"/>
      <c r="U133" s="240"/>
      <c r="V133" s="240"/>
      <c r="W133" s="240"/>
      <c r="X133" s="240"/>
      <c r="Y133" s="240"/>
      <c r="Z133" s="240"/>
      <c r="AA133" s="240"/>
      <c r="AB133" s="240"/>
      <c r="AC133" s="240"/>
      <c r="AD133" s="240"/>
      <c r="AE133" s="240"/>
      <c r="AF133" s="240"/>
      <c r="AG133" s="240"/>
      <c r="AH133" s="240"/>
      <c r="AI133" s="240"/>
      <c r="AJ133" s="240"/>
      <c r="AK133" s="13"/>
      <c r="AL133" s="13"/>
      <c r="AM133" s="13"/>
      <c r="AN133" s="13"/>
      <c r="AO133" s="13"/>
      <c r="AP133" s="13"/>
      <c r="AQ133" s="13"/>
      <c r="AR133" s="13"/>
      <c r="AS133" s="13"/>
      <c r="AT133" s="13"/>
      <c r="AU133" s="13"/>
      <c r="AV133" s="13"/>
      <c r="AW133" s="13"/>
      <c r="AX133" s="14"/>
      <c r="AY133" s="14"/>
      <c r="AZ133" s="14"/>
      <c r="BA133" s="14"/>
      <c r="BB133" s="14"/>
      <c r="BC133" s="14"/>
      <c r="BD133" s="14"/>
      <c r="BE133" s="14"/>
      <c r="BF133" s="14"/>
      <c r="BG133" s="14"/>
      <c r="BH133" s="14"/>
      <c r="BI133" s="14"/>
      <c r="BJ133" s="14"/>
    </row>
    <row r="134" spans="1:62" customFormat="1" ht="7.5" customHeight="1">
      <c r="A134" s="236"/>
      <c r="B134" s="353"/>
      <c r="C134" s="264"/>
      <c r="D134" s="237"/>
      <c r="E134" s="263"/>
      <c r="F134" s="247"/>
      <c r="G134" s="237"/>
      <c r="H134" s="240"/>
      <c r="I134" s="240"/>
      <c r="J134" s="240"/>
      <c r="K134" s="240"/>
      <c r="L134" s="240"/>
      <c r="M134" s="240"/>
      <c r="N134" s="240"/>
      <c r="O134" s="240"/>
      <c r="P134" s="240"/>
      <c r="Q134" s="240"/>
      <c r="R134" s="240"/>
      <c r="S134" s="240"/>
      <c r="T134" s="240"/>
      <c r="U134" s="240"/>
      <c r="V134" s="240"/>
      <c r="W134" s="240"/>
      <c r="X134" s="240"/>
      <c r="Y134" s="240"/>
      <c r="Z134" s="240"/>
      <c r="AA134" s="240"/>
      <c r="AB134" s="240"/>
      <c r="AC134" s="240"/>
      <c r="AD134" s="240"/>
      <c r="AE134" s="240"/>
      <c r="AF134" s="240"/>
      <c r="AG134" s="240"/>
      <c r="AH134" s="240"/>
      <c r="AI134" s="240"/>
      <c r="AJ134" s="240"/>
      <c r="AK134" s="13"/>
      <c r="AL134" s="13"/>
      <c r="AM134" s="13"/>
      <c r="AN134" s="13"/>
      <c r="AO134" s="13"/>
      <c r="AP134" s="13"/>
      <c r="AQ134" s="13"/>
      <c r="AR134" s="13"/>
      <c r="AS134" s="13"/>
      <c r="AT134" s="13"/>
      <c r="AU134" s="13"/>
      <c r="AV134" s="13"/>
      <c r="AW134" s="13"/>
      <c r="AX134" s="14"/>
      <c r="AY134" s="14"/>
      <c r="AZ134" s="14"/>
      <c r="BA134" s="14"/>
      <c r="BB134" s="14"/>
      <c r="BC134" s="14"/>
      <c r="BD134" s="14"/>
      <c r="BE134" s="14"/>
      <c r="BF134" s="14"/>
      <c r="BG134" s="14"/>
      <c r="BH134" s="14"/>
      <c r="BI134" s="14"/>
      <c r="BJ134" s="14"/>
    </row>
    <row r="135" spans="1:62" customFormat="1" ht="16.5" customHeight="1">
      <c r="A135" s="91"/>
      <c r="B135" s="418" t="str">
        <f>Vertaling!B98</f>
      </c>
      <c r="C135" s="418"/>
      <c r="D135" s="418"/>
      <c r="E135" s="264" t="str">
        <f>Vertaling!B155</f>
      </c>
      <c r="F135" s="282">
        <f>IF(B135="",0,IF(DATA!$B$88="",0,DATA!$B$88))</f>
      </c>
      <c r="G135" s="237"/>
      <c r="H135" s="240"/>
      <c r="I135" s="240"/>
      <c r="J135" s="240"/>
      <c r="K135" s="240"/>
      <c r="L135" s="240"/>
      <c r="M135" s="240"/>
      <c r="N135" s="240"/>
      <c r="O135" s="240"/>
      <c r="P135" s="240"/>
      <c r="Q135" s="240"/>
      <c r="R135" s="240"/>
      <c r="S135" s="240"/>
      <c r="T135" s="240"/>
      <c r="U135" s="240"/>
      <c r="V135" s="240"/>
      <c r="W135" s="240"/>
      <c r="X135" s="240"/>
      <c r="Y135" s="240"/>
      <c r="Z135" s="240"/>
      <c r="AA135" s="240"/>
      <c r="AB135" s="240"/>
      <c r="AC135" s="240"/>
      <c r="AD135" s="240"/>
      <c r="AE135" s="240"/>
      <c r="AF135" s="240"/>
      <c r="AG135" s="240"/>
      <c r="AH135" s="240"/>
      <c r="AI135" s="240"/>
      <c r="AJ135" s="240"/>
      <c r="AK135" s="13"/>
      <c r="AL135" s="13"/>
      <c r="AM135" s="13"/>
      <c r="AN135" s="13"/>
      <c r="AO135" s="13"/>
      <c r="AP135" s="13"/>
      <c r="AQ135" s="13"/>
      <c r="AR135" s="13"/>
      <c r="AS135" s="13"/>
      <c r="AT135" s="13"/>
      <c r="AU135" s="13"/>
      <c r="AV135" s="13"/>
      <c r="AW135" s="13"/>
      <c r="AX135" s="14"/>
      <c r="AY135" s="14"/>
      <c r="AZ135" s="14"/>
      <c r="BA135" s="14"/>
      <c r="BB135" s="14"/>
      <c r="BC135" s="14"/>
      <c r="BD135" s="14"/>
      <c r="BE135" s="14"/>
      <c r="BF135" s="14"/>
      <c r="BG135" s="14"/>
      <c r="BH135" s="14"/>
      <c r="BI135" s="14"/>
      <c r="BJ135" s="14"/>
    </row>
    <row r="136" spans="1:62" customFormat="1" ht="7.5" customHeight="1">
      <c r="A136" s="236"/>
      <c r="B136" s="353"/>
      <c r="C136" s="264"/>
      <c r="D136" s="237"/>
      <c r="E136" s="263"/>
      <c r="F136" s="247"/>
      <c r="G136" s="237"/>
      <c r="H136" s="240"/>
      <c r="I136" s="240"/>
      <c r="J136" s="240"/>
      <c r="K136" s="240"/>
      <c r="L136" s="240"/>
      <c r="M136" s="240"/>
      <c r="N136" s="240"/>
      <c r="O136" s="240"/>
      <c r="P136" s="240"/>
      <c r="Q136" s="240"/>
      <c r="R136" s="240"/>
      <c r="S136" s="240"/>
      <c r="T136" s="240"/>
      <c r="U136" s="240"/>
      <c r="V136" s="240"/>
      <c r="W136" s="240"/>
      <c r="X136" s="240"/>
      <c r="Y136" s="240"/>
      <c r="Z136" s="240"/>
      <c r="AA136" s="240"/>
      <c r="AB136" s="240"/>
      <c r="AC136" s="240"/>
      <c r="AD136" s="240"/>
      <c r="AE136" s="240"/>
      <c r="AF136" s="240"/>
      <c r="AG136" s="240"/>
      <c r="AH136" s="240"/>
      <c r="AI136" s="240"/>
      <c r="AJ136" s="240"/>
      <c r="AK136" s="13"/>
      <c r="AL136" s="13"/>
      <c r="AM136" s="13"/>
      <c r="AN136" s="13"/>
      <c r="AO136" s="13"/>
      <c r="AP136" s="13"/>
      <c r="AQ136" s="13"/>
      <c r="AR136" s="13"/>
      <c r="AS136" s="13"/>
      <c r="AT136" s="13"/>
      <c r="AU136" s="13"/>
      <c r="AV136" s="13"/>
      <c r="AW136" s="13"/>
      <c r="AX136" s="14"/>
      <c r="AY136" s="14"/>
      <c r="AZ136" s="14"/>
      <c r="BA136" s="14"/>
      <c r="BB136" s="14"/>
      <c r="BC136" s="14"/>
      <c r="BD136" s="14"/>
      <c r="BE136" s="14"/>
      <c r="BF136" s="14"/>
      <c r="BG136" s="14"/>
      <c r="BH136" s="14"/>
      <c r="BI136" s="14"/>
      <c r="BJ136" s="14"/>
    </row>
    <row r="137" spans="1:62" customFormat="1" ht="15" customHeight="1">
      <c r="A137" s="91"/>
      <c r="B137" s="353" t="str">
        <f>Vertaling!B99</f>
      </c>
      <c r="C137" s="274"/>
      <c r="D137" s="251"/>
      <c r="E137" s="264" t="str">
        <f>Vertaling!B156</f>
      </c>
      <c r="F137" s="283" t="str">
        <f>IF(B137="",dropdowns!$B$143,IF(DATA!$B$89="",dropdowns!$B$143,DATA!$B$89))</f>
      </c>
      <c r="G137" s="237">
        <f>IF(OR(F135="",F135=0),0,F131/F135)</f>
      </c>
      <c r="H137" s="240"/>
      <c r="I137" s="240"/>
      <c r="J137" s="240"/>
      <c r="K137" s="240"/>
      <c r="L137" s="240"/>
      <c r="M137" s="240"/>
      <c r="N137" s="240"/>
      <c r="O137" s="240"/>
      <c r="P137" s="240"/>
      <c r="Q137" s="240"/>
      <c r="R137" s="240"/>
      <c r="S137" s="240"/>
      <c r="T137" s="240"/>
      <c r="U137" s="240"/>
      <c r="V137" s="240"/>
      <c r="W137" s="240"/>
      <c r="X137" s="240"/>
      <c r="Y137" s="240"/>
      <c r="Z137" s="240"/>
      <c r="AA137" s="240"/>
      <c r="AB137" s="240"/>
      <c r="AC137" s="240"/>
      <c r="AD137" s="240"/>
      <c r="AE137" s="240"/>
      <c r="AF137" s="240"/>
      <c r="AG137" s="240"/>
      <c r="AH137" s="240"/>
      <c r="AI137" s="240"/>
      <c r="AJ137" s="240"/>
      <c r="AK137" s="13"/>
      <c r="AL137" s="13"/>
      <c r="AM137" s="13"/>
      <c r="AN137" s="13"/>
      <c r="AO137" s="13"/>
      <c r="AP137" s="13"/>
      <c r="AQ137" s="13"/>
      <c r="AR137" s="13"/>
      <c r="AS137" s="13"/>
      <c r="AT137" s="13"/>
      <c r="AU137" s="13"/>
      <c r="AV137" s="13"/>
      <c r="AW137" s="13"/>
      <c r="AX137" s="14"/>
      <c r="AY137" s="14"/>
      <c r="AZ137" s="14"/>
      <c r="BA137" s="14"/>
      <c r="BB137" s="14"/>
      <c r="BC137" s="14"/>
      <c r="BD137" s="14"/>
      <c r="BE137" s="14"/>
      <c r="BF137" s="14"/>
      <c r="BG137" s="14"/>
      <c r="BH137" s="14"/>
      <c r="BI137" s="14"/>
      <c r="BJ137" s="14"/>
    </row>
    <row r="138" spans="1:62" customFormat="1" ht="12.75">
      <c r="A138" s="70"/>
      <c r="B138" s="353"/>
      <c r="C138" s="271"/>
      <c r="D138" s="1"/>
      <c r="E138" s="265"/>
      <c r="F138" s="353"/>
      <c r="G138" s="1"/>
      <c r="H138" s="240"/>
      <c r="I138" s="240"/>
      <c r="J138" s="240"/>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13"/>
      <c r="AL138" s="13"/>
      <c r="AM138" s="13"/>
      <c r="AN138" s="13"/>
      <c r="AO138" s="13"/>
      <c r="AP138" s="13"/>
      <c r="AQ138" s="13"/>
      <c r="AR138" s="13"/>
      <c r="AS138" s="13"/>
      <c r="AT138" s="13"/>
      <c r="AU138" s="13"/>
      <c r="AV138" s="13"/>
      <c r="AW138" s="13"/>
      <c r="AX138" s="14"/>
      <c r="AY138" s="14"/>
      <c r="AZ138" s="14"/>
      <c r="BA138" s="14"/>
      <c r="BB138" s="14"/>
      <c r="BC138" s="14"/>
      <c r="BD138" s="14"/>
      <c r="BE138" s="14"/>
      <c r="BF138" s="14"/>
      <c r="BG138" s="14"/>
      <c r="BH138" s="14"/>
      <c r="BI138" s="14"/>
      <c r="BJ138" s="14"/>
    </row>
    <row r="139" spans="1:62" customFormat="1" ht="12.75">
      <c r="A139" s="70"/>
      <c r="B139" s="353"/>
      <c r="C139" s="271"/>
      <c r="D139" s="1"/>
      <c r="E139" s="265"/>
      <c r="F139" s="1"/>
      <c r="G139" s="1"/>
      <c r="H139" s="240"/>
      <c r="I139" s="240"/>
      <c r="J139" s="240"/>
      <c r="K139" s="240"/>
      <c r="L139" s="240"/>
      <c r="M139" s="240"/>
      <c r="N139" s="240"/>
      <c r="O139" s="240"/>
      <c r="P139" s="240"/>
      <c r="Q139" s="240"/>
      <c r="R139" s="240"/>
      <c r="S139" s="240"/>
      <c r="T139" s="240"/>
      <c r="U139" s="240"/>
      <c r="V139" s="240"/>
      <c r="W139" s="240"/>
      <c r="X139" s="240"/>
      <c r="Y139" s="240"/>
      <c r="Z139" s="240"/>
      <c r="AA139" s="240"/>
      <c r="AB139" s="240"/>
      <c r="AC139" s="240"/>
      <c r="AD139" s="240"/>
      <c r="AE139" s="240"/>
      <c r="AF139" s="240"/>
      <c r="AG139" s="240"/>
      <c r="AH139" s="240"/>
      <c r="AI139" s="240"/>
      <c r="AJ139" s="240"/>
      <c r="AK139" s="13"/>
      <c r="AL139" s="13"/>
      <c r="AM139" s="13"/>
      <c r="AN139" s="13"/>
      <c r="AO139" s="13"/>
      <c r="AP139" s="13"/>
      <c r="AQ139" s="13"/>
      <c r="AR139" s="13"/>
      <c r="AS139" s="13"/>
      <c r="AT139" s="13"/>
      <c r="AU139" s="13"/>
      <c r="AV139" s="13"/>
      <c r="AW139" s="13"/>
      <c r="AX139" s="14"/>
      <c r="AY139" s="14"/>
      <c r="AZ139" s="14"/>
      <c r="BA139" s="14"/>
      <c r="BB139" s="14"/>
      <c r="BC139" s="14"/>
      <c r="BD139" s="14"/>
      <c r="BE139" s="14"/>
      <c r="BF139" s="14"/>
      <c r="BG139" s="14"/>
      <c r="BH139" s="14"/>
      <c r="BI139" s="14"/>
      <c r="BJ139" s="14"/>
    </row>
    <row r="140" spans="1:62" customFormat="1" ht="12.75">
      <c r="A140" s="70"/>
      <c r="B140" s="234" t="str">
        <f>Vertaling!B100</f>
      </c>
      <c r="C140" s="271"/>
      <c r="D140" s="1"/>
      <c r="E140" s="268"/>
      <c r="F140" s="1"/>
      <c r="G140" s="1"/>
      <c r="H140" s="240"/>
      <c r="I140" s="240"/>
      <c r="J140" s="240"/>
      <c r="K140" s="240"/>
      <c r="L140" s="240"/>
      <c r="M140" s="240"/>
      <c r="N140" s="240"/>
      <c r="O140" s="240"/>
      <c r="P140" s="240"/>
      <c r="Q140" s="240"/>
      <c r="R140" s="240"/>
      <c r="S140" s="240"/>
      <c r="T140" s="240"/>
      <c r="U140" s="240"/>
      <c r="V140" s="240"/>
      <c r="W140" s="240"/>
      <c r="X140" s="240"/>
      <c r="Y140" s="240"/>
      <c r="Z140" s="240"/>
      <c r="AA140" s="240"/>
      <c r="AB140" s="240"/>
      <c r="AC140" s="240"/>
      <c r="AD140" s="240"/>
      <c r="AE140" s="240"/>
      <c r="AF140" s="240"/>
      <c r="AG140" s="240"/>
      <c r="AH140" s="240"/>
      <c r="AI140" s="240"/>
      <c r="AJ140" s="240"/>
      <c r="AK140" s="13"/>
      <c r="AL140" s="13"/>
      <c r="AM140" s="13"/>
      <c r="AN140" s="13"/>
      <c r="AO140" s="13"/>
      <c r="AP140" s="13"/>
      <c r="AQ140" s="13"/>
      <c r="AR140" s="13"/>
      <c r="AS140" s="13"/>
      <c r="AT140" s="13"/>
      <c r="AU140" s="13"/>
      <c r="AV140" s="13"/>
      <c r="AW140" s="13"/>
      <c r="AX140" s="14"/>
      <c r="AY140" s="14"/>
      <c r="AZ140" s="14"/>
      <c r="BA140" s="14"/>
      <c r="BB140" s="14"/>
      <c r="BC140" s="14"/>
      <c r="BD140" s="14"/>
      <c r="BE140" s="14"/>
      <c r="BF140" s="14"/>
      <c r="BG140" s="14"/>
      <c r="BH140" s="14"/>
      <c r="BI140" s="14"/>
      <c r="BJ140" s="14"/>
    </row>
    <row r="141" spans="1:62" customFormat="1" ht="22.5" customHeight="1">
      <c r="A141" s="91" t="str">
        <f>CONCATENATE(LEFT(A131,2)+1,".")</f>
      </c>
      <c r="B141" s="238" t="str">
        <f>Vertaling!B101</f>
      </c>
      <c r="C141" s="271"/>
      <c r="D141" s="1"/>
      <c r="E141" s="268"/>
      <c r="F141" s="261" t="str">
        <f>Vertaling!$B$146</f>
      </c>
      <c r="G141" s="1"/>
      <c r="H141" s="240"/>
      <c r="I141" s="240"/>
      <c r="J141" s="240"/>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13"/>
      <c r="AL141" s="13"/>
      <c r="AM141" s="13"/>
      <c r="AN141" s="13"/>
      <c r="AO141" s="13"/>
      <c r="AP141" s="13"/>
      <c r="AQ141" s="13"/>
      <c r="AR141" s="13"/>
      <c r="AS141" s="13"/>
      <c r="AT141" s="13"/>
      <c r="AU141" s="13"/>
      <c r="AV141" s="13"/>
      <c r="AW141" s="13"/>
      <c r="AX141" s="14"/>
      <c r="AY141" s="14"/>
      <c r="AZ141" s="14"/>
      <c r="BA141" s="14"/>
      <c r="BB141" s="14"/>
      <c r="BC141" s="14"/>
      <c r="BD141" s="14"/>
      <c r="BE141" s="14"/>
      <c r="BF141" s="14"/>
      <c r="BG141" s="14"/>
      <c r="BH141" s="14"/>
      <c r="BI141" s="14"/>
      <c r="BJ141" s="14"/>
    </row>
    <row r="142" spans="1:62" customFormat="1" ht="27.75" customHeight="1">
      <c r="A142" s="236" t="s">
        <v>4</v>
      </c>
      <c r="B142" s="418" t="str">
        <f>Vertaling!B102</f>
      </c>
      <c r="C142" s="418"/>
      <c r="D142" s="418"/>
      <c r="E142" s="263" t="str">
        <f>Vertaling!$B$147</f>
      </c>
      <c r="F142" s="282">
        <f>IF(DATA!$B$90="",0,DATA!$B$90)</f>
      </c>
      <c r="G142" s="1"/>
      <c r="H142" s="240"/>
      <c r="I142" s="240"/>
      <c r="J142" s="240"/>
      <c r="K142" s="240"/>
      <c r="L142" s="240"/>
      <c r="M142" s="240"/>
      <c r="N142" s="240"/>
      <c r="O142" s="240"/>
      <c r="P142" s="240"/>
      <c r="Q142" s="240"/>
      <c r="R142" s="240"/>
      <c r="S142" s="240"/>
      <c r="T142" s="240"/>
      <c r="U142" s="240"/>
      <c r="V142" s="240"/>
      <c r="W142" s="240"/>
      <c r="X142" s="240"/>
      <c r="Y142" s="240"/>
      <c r="Z142" s="240"/>
      <c r="AA142" s="240"/>
      <c r="AB142" s="240"/>
      <c r="AC142" s="240"/>
      <c r="AD142" s="240"/>
      <c r="AE142" s="240"/>
      <c r="AF142" s="240"/>
      <c r="AG142" s="240"/>
      <c r="AH142" s="240"/>
      <c r="AI142" s="240"/>
      <c r="AJ142" s="240"/>
      <c r="AK142" s="13"/>
      <c r="AL142" s="13"/>
      <c r="AM142" s="13"/>
      <c r="AN142" s="13"/>
      <c r="AO142" s="13"/>
      <c r="AP142" s="13"/>
      <c r="AQ142" s="13"/>
      <c r="AR142" s="13"/>
      <c r="AS142" s="13"/>
      <c r="AT142" s="13"/>
      <c r="AU142" s="13"/>
      <c r="AV142" s="13"/>
      <c r="AW142" s="13"/>
      <c r="AX142" s="14"/>
      <c r="AY142" s="14"/>
      <c r="AZ142" s="14"/>
      <c r="BA142" s="14"/>
      <c r="BB142" s="14"/>
      <c r="BC142" s="14"/>
      <c r="BD142" s="14"/>
      <c r="BE142" s="14"/>
      <c r="BF142" s="14"/>
      <c r="BG142" s="14"/>
      <c r="BH142" s="14"/>
      <c r="BI142" s="14"/>
      <c r="BJ142" s="14"/>
    </row>
    <row r="143" spans="1:62" customFormat="1" ht="7.5" customHeight="1">
      <c r="A143" s="236"/>
      <c r="B143" s="353"/>
      <c r="C143" s="263"/>
      <c r="D143" s="247"/>
      <c r="E143" s="265"/>
      <c r="F143" s="239"/>
      <c r="G143" s="247"/>
      <c r="H143" s="240"/>
      <c r="I143" s="240"/>
      <c r="J143" s="240"/>
      <c r="K143" s="240"/>
      <c r="L143" s="240"/>
      <c r="M143" s="240"/>
      <c r="N143" s="240"/>
      <c r="O143" s="240"/>
      <c r="P143" s="240"/>
      <c r="Q143" s="240"/>
      <c r="R143" s="240"/>
      <c r="S143" s="240"/>
      <c r="T143" s="240"/>
      <c r="U143" s="240"/>
      <c r="V143" s="240"/>
      <c r="W143" s="240"/>
      <c r="X143" s="240"/>
      <c r="Y143" s="240"/>
      <c r="Z143" s="240"/>
      <c r="AA143" s="240"/>
      <c r="AB143" s="240"/>
      <c r="AC143" s="240"/>
      <c r="AD143" s="240"/>
      <c r="AE143" s="240"/>
      <c r="AF143" s="240"/>
      <c r="AG143" s="240"/>
      <c r="AH143" s="240"/>
      <c r="AI143" s="240"/>
      <c r="AJ143" s="240"/>
      <c r="AK143" s="13"/>
      <c r="AL143" s="13"/>
      <c r="AM143" s="13"/>
      <c r="AN143" s="13"/>
      <c r="AO143" s="13"/>
      <c r="AP143" s="13"/>
      <c r="AQ143" s="13"/>
      <c r="AR143" s="13"/>
      <c r="AS143" s="13"/>
      <c r="AT143" s="13"/>
      <c r="AU143" s="13"/>
      <c r="AV143" s="13"/>
      <c r="AW143" s="13"/>
      <c r="AX143" s="14"/>
      <c r="AY143" s="14"/>
      <c r="AZ143" s="14"/>
      <c r="BA143" s="14"/>
      <c r="BB143" s="14"/>
      <c r="BC143" s="14"/>
      <c r="BD143" s="14"/>
      <c r="BE143" s="14"/>
      <c r="BF143" s="14"/>
      <c r="BG143" s="14"/>
      <c r="BH143" s="14"/>
      <c r="BI143" s="14"/>
      <c r="BJ143" s="14"/>
    </row>
    <row r="144" spans="1:62" customFormat="1" ht="16.5" customHeight="1">
      <c r="A144" s="236"/>
      <c r="B144" s="353" t="str">
        <f>Vertaling!B103</f>
      </c>
      <c r="C144" s="274"/>
      <c r="D144" s="251"/>
      <c r="E144" s="264" t="str">
        <f>Vertaling!B157</f>
      </c>
      <c r="F144" s="283" t="str">
        <f>IF(B144="",dropdowns!$B$143,IF(DATA!$B$91="",dropdowns!$B$143,DATA!$B$91))</f>
      </c>
      <c r="G144" s="247"/>
      <c r="H144" s="240"/>
      <c r="I144" s="240"/>
      <c r="J144" s="240"/>
      <c r="K144" s="240"/>
      <c r="L144" s="240"/>
      <c r="M144" s="240"/>
      <c r="N144" s="240"/>
      <c r="O144" s="240"/>
      <c r="P144" s="240"/>
      <c r="Q144" s="240"/>
      <c r="R144" s="240"/>
      <c r="S144" s="240"/>
      <c r="T144" s="240"/>
      <c r="U144" s="240"/>
      <c r="V144" s="240"/>
      <c r="W144" s="240"/>
      <c r="X144" s="240"/>
      <c r="Y144" s="240"/>
      <c r="Z144" s="240"/>
      <c r="AA144" s="240"/>
      <c r="AB144" s="240"/>
      <c r="AC144" s="240"/>
      <c r="AD144" s="240"/>
      <c r="AE144" s="240"/>
      <c r="AF144" s="240"/>
      <c r="AG144" s="240"/>
      <c r="AH144" s="240"/>
      <c r="AI144" s="240"/>
      <c r="AJ144" s="240"/>
      <c r="AK144" s="13"/>
      <c r="AL144" s="13"/>
      <c r="AM144" s="13"/>
      <c r="AN144" s="13"/>
      <c r="AO144" s="13"/>
      <c r="AP144" s="13"/>
      <c r="AQ144" s="13"/>
      <c r="AR144" s="13"/>
      <c r="AS144" s="13"/>
      <c r="AT144" s="13"/>
      <c r="AU144" s="13"/>
      <c r="AV144" s="13"/>
      <c r="AW144" s="13"/>
      <c r="AX144" s="14"/>
      <c r="AY144" s="14"/>
      <c r="AZ144" s="14"/>
      <c r="BA144" s="14"/>
      <c r="BB144" s="14"/>
      <c r="BC144" s="14"/>
      <c r="BD144" s="14"/>
      <c r="BE144" s="14"/>
      <c r="BF144" s="14"/>
      <c r="BG144" s="14"/>
      <c r="BH144" s="14"/>
      <c r="BI144" s="14"/>
      <c r="BJ144" s="14"/>
    </row>
    <row r="145" spans="1:62" customFormat="1" ht="7.5" customHeight="1">
      <c r="A145" s="70"/>
      <c r="B145" s="353"/>
      <c r="C145" s="271"/>
      <c r="D145" s="1"/>
      <c r="E145" s="264"/>
      <c r="F145" s="353"/>
      <c r="G145" s="1"/>
      <c r="H145" s="240"/>
      <c r="I145" s="240"/>
      <c r="J145" s="240"/>
      <c r="K145" s="240"/>
      <c r="L145" s="240"/>
      <c r="M145" s="240"/>
      <c r="N145" s="240"/>
      <c r="O145" s="240"/>
      <c r="P145" s="240"/>
      <c r="Q145" s="240"/>
      <c r="R145" s="240"/>
      <c r="S145" s="240"/>
      <c r="T145" s="240"/>
      <c r="U145" s="240"/>
      <c r="V145" s="240"/>
      <c r="W145" s="240"/>
      <c r="X145" s="240"/>
      <c r="Y145" s="240"/>
      <c r="Z145" s="240"/>
      <c r="AA145" s="240"/>
      <c r="AB145" s="240"/>
      <c r="AC145" s="240"/>
      <c r="AD145" s="240"/>
      <c r="AE145" s="240"/>
      <c r="AF145" s="240"/>
      <c r="AG145" s="240"/>
      <c r="AH145" s="240"/>
      <c r="AI145" s="240"/>
      <c r="AJ145" s="240"/>
      <c r="AK145" s="13"/>
      <c r="AL145" s="13"/>
      <c r="AM145" s="13"/>
      <c r="AN145" s="13"/>
      <c r="AO145" s="13"/>
      <c r="AP145" s="13"/>
      <c r="AQ145" s="13"/>
      <c r="AR145" s="13"/>
      <c r="AS145" s="13"/>
      <c r="AT145" s="13"/>
      <c r="AU145" s="13"/>
      <c r="AV145" s="13"/>
      <c r="AW145" s="13"/>
      <c r="AX145" s="14"/>
      <c r="AY145" s="14"/>
      <c r="AZ145" s="14"/>
      <c r="BA145" s="14"/>
      <c r="BB145" s="14"/>
      <c r="BC145" s="14"/>
      <c r="BD145" s="14"/>
      <c r="BE145" s="14"/>
      <c r="BF145" s="14"/>
      <c r="BG145" s="14"/>
      <c r="BH145" s="14"/>
      <c r="BI145" s="14"/>
      <c r="BJ145" s="14"/>
    </row>
    <row r="146" spans="1:62" customFormat="1" ht="16.5" customHeight="1">
      <c r="A146" s="236" t="s">
        <v>4</v>
      </c>
      <c r="B146" s="418" t="str">
        <f>Vertaling!B104</f>
      </c>
      <c r="C146" s="418"/>
      <c r="D146" s="418"/>
      <c r="E146" s="263" t="str">
        <f>Vertaling!$B$147</f>
      </c>
      <c r="F146" s="282">
        <f>IF(DATA!$B$92="",0,DATA!$B$92)</f>
      </c>
      <c r="G146" s="1"/>
      <c r="H146" s="240"/>
      <c r="I146" s="240"/>
      <c r="J146" s="240"/>
      <c r="K146" s="240"/>
      <c r="L146" s="240"/>
      <c r="M146" s="240"/>
      <c r="N146" s="240"/>
      <c r="O146" s="240"/>
      <c r="P146" s="240"/>
      <c r="Q146" s="240"/>
      <c r="R146" s="240"/>
      <c r="S146" s="240"/>
      <c r="T146" s="240"/>
      <c r="U146" s="240"/>
      <c r="V146" s="240"/>
      <c r="W146" s="240"/>
      <c r="X146" s="240"/>
      <c r="Y146" s="240"/>
      <c r="Z146" s="240"/>
      <c r="AA146" s="240"/>
      <c r="AB146" s="240"/>
      <c r="AC146" s="240"/>
      <c r="AD146" s="240"/>
      <c r="AE146" s="240"/>
      <c r="AF146" s="240"/>
      <c r="AG146" s="240"/>
      <c r="AH146" s="240"/>
      <c r="AI146" s="240"/>
      <c r="AJ146" s="240"/>
      <c r="AK146" s="13"/>
      <c r="AL146" s="13"/>
      <c r="AM146" s="13"/>
      <c r="AN146" s="13"/>
      <c r="AO146" s="13"/>
      <c r="AP146" s="13"/>
      <c r="AQ146" s="13"/>
      <c r="AR146" s="13"/>
      <c r="AS146" s="13"/>
      <c r="AT146" s="13"/>
      <c r="AU146" s="13"/>
      <c r="AV146" s="13"/>
      <c r="AW146" s="13"/>
      <c r="AX146" s="14"/>
      <c r="AY146" s="14"/>
      <c r="AZ146" s="14"/>
      <c r="BA146" s="14"/>
      <c r="BB146" s="14"/>
      <c r="BC146" s="14"/>
      <c r="BD146" s="14"/>
      <c r="BE146" s="14"/>
      <c r="BF146" s="14"/>
      <c r="BG146" s="14"/>
      <c r="BH146" s="14"/>
      <c r="BI146" s="14"/>
      <c r="BJ146" s="14"/>
    </row>
    <row r="147" spans="1:62" customFormat="1" ht="7.5" customHeight="1">
      <c r="A147" s="236"/>
      <c r="B147" s="353"/>
      <c r="C147" s="263"/>
      <c r="D147" s="247"/>
      <c r="E147" s="263"/>
      <c r="F147" s="247"/>
      <c r="G147" s="247"/>
      <c r="H147" s="240"/>
      <c r="I147" s="240"/>
      <c r="J147" s="240"/>
      <c r="K147" s="240"/>
      <c r="L147" s="240"/>
      <c r="M147" s="240"/>
      <c r="N147" s="240"/>
      <c r="O147" s="240"/>
      <c r="P147" s="240"/>
      <c r="Q147" s="240"/>
      <c r="R147" s="240"/>
      <c r="S147" s="240"/>
      <c r="T147" s="240"/>
      <c r="U147" s="240"/>
      <c r="V147" s="240"/>
      <c r="W147" s="240"/>
      <c r="X147" s="240"/>
      <c r="Y147" s="240"/>
      <c r="Z147" s="240"/>
      <c r="AA147" s="240"/>
      <c r="AB147" s="240"/>
      <c r="AC147" s="240"/>
      <c r="AD147" s="240"/>
      <c r="AE147" s="240"/>
      <c r="AF147" s="240"/>
      <c r="AG147" s="240"/>
      <c r="AH147" s="240"/>
      <c r="AI147" s="240"/>
      <c r="AJ147" s="240"/>
      <c r="AK147" s="13"/>
      <c r="AL147" s="13"/>
      <c r="AM147" s="13"/>
      <c r="AN147" s="13"/>
      <c r="AO147" s="13"/>
      <c r="AP147" s="13"/>
      <c r="AQ147" s="13"/>
      <c r="AR147" s="13"/>
      <c r="AS147" s="13"/>
      <c r="AT147" s="13"/>
      <c r="AU147" s="13"/>
      <c r="AV147" s="13"/>
      <c r="AW147" s="13"/>
      <c r="AX147" s="14"/>
      <c r="AY147" s="14"/>
      <c r="AZ147" s="14"/>
      <c r="BA147" s="14"/>
      <c r="BB147" s="14"/>
      <c r="BC147" s="14"/>
      <c r="BD147" s="14"/>
      <c r="BE147" s="14"/>
      <c r="BF147" s="14"/>
      <c r="BG147" s="14"/>
      <c r="BH147" s="14"/>
      <c r="BI147" s="14"/>
      <c r="BJ147" s="14"/>
    </row>
    <row r="148" spans="1:62" customFormat="1" ht="16.5" customHeight="1">
      <c r="A148" s="236"/>
      <c r="B148" s="353" t="str">
        <f>Vertaling!B105</f>
      </c>
      <c r="C148" s="274"/>
      <c r="D148" s="251"/>
      <c r="E148" s="264" t="str">
        <f>Vertaling!B158</f>
      </c>
      <c r="F148" s="283" t="str">
        <f>IF(B148="",dropdowns!$B$143,IF(DATA!$B$91="",dropdowns!$B$143,DATA!$B$91))</f>
      </c>
      <c r="G148" s="247"/>
      <c r="H148" s="240"/>
      <c r="I148" s="240"/>
      <c r="J148" s="240"/>
      <c r="K148" s="240"/>
      <c r="L148" s="240"/>
      <c r="M148" s="240"/>
      <c r="N148" s="240"/>
      <c r="O148" s="240"/>
      <c r="P148" s="240"/>
      <c r="Q148" s="240"/>
      <c r="R148" s="240"/>
      <c r="S148" s="240"/>
      <c r="T148" s="240"/>
      <c r="U148" s="240"/>
      <c r="V148" s="240"/>
      <c r="W148" s="240"/>
      <c r="X148" s="240"/>
      <c r="Y148" s="240"/>
      <c r="Z148" s="240"/>
      <c r="AA148" s="240"/>
      <c r="AB148" s="240"/>
      <c r="AC148" s="240"/>
      <c r="AD148" s="240"/>
      <c r="AE148" s="240"/>
      <c r="AF148" s="240"/>
      <c r="AG148" s="240"/>
      <c r="AH148" s="240"/>
      <c r="AI148" s="240"/>
      <c r="AJ148" s="240"/>
      <c r="AK148" s="13"/>
      <c r="AL148" s="13"/>
      <c r="AM148" s="13"/>
      <c r="AN148" s="13"/>
      <c r="AO148" s="13"/>
      <c r="AP148" s="13"/>
      <c r="AQ148" s="13"/>
      <c r="AR148" s="13"/>
      <c r="AS148" s="13"/>
      <c r="AT148" s="13"/>
      <c r="AU148" s="13"/>
      <c r="AV148" s="13"/>
      <c r="AW148" s="13"/>
      <c r="AX148" s="14"/>
      <c r="AY148" s="14"/>
      <c r="AZ148" s="14"/>
      <c r="BA148" s="14"/>
      <c r="BB148" s="14"/>
      <c r="BC148" s="14"/>
      <c r="BD148" s="14"/>
      <c r="BE148" s="14"/>
      <c r="BF148" s="14"/>
      <c r="BG148" s="14"/>
      <c r="BH148" s="14"/>
      <c r="BI148" s="14"/>
      <c r="BJ148" s="14"/>
    </row>
    <row r="149" spans="1:62" customFormat="1" ht="7.5" customHeight="1">
      <c r="A149" s="70"/>
      <c r="B149" s="353"/>
      <c r="C149" s="271"/>
      <c r="D149" s="1"/>
      <c r="E149" s="264"/>
      <c r="F149" s="353"/>
      <c r="G149" s="1"/>
      <c r="H149" s="240"/>
      <c r="I149" s="240"/>
      <c r="J149" s="240"/>
      <c r="K149" s="240"/>
      <c r="L149" s="240"/>
      <c r="M149" s="240"/>
      <c r="N149" s="240"/>
      <c r="O149" s="240"/>
      <c r="P149" s="240"/>
      <c r="Q149" s="240"/>
      <c r="R149" s="240"/>
      <c r="S149" s="240"/>
      <c r="T149" s="240"/>
      <c r="U149" s="240"/>
      <c r="V149" s="240"/>
      <c r="W149" s="240"/>
      <c r="X149" s="240"/>
      <c r="Y149" s="240"/>
      <c r="Z149" s="240"/>
      <c r="AA149" s="240"/>
      <c r="AB149" s="240"/>
      <c r="AC149" s="240"/>
      <c r="AD149" s="240"/>
      <c r="AE149" s="240"/>
      <c r="AF149" s="240"/>
      <c r="AG149" s="240"/>
      <c r="AH149" s="240"/>
      <c r="AI149" s="240"/>
      <c r="AJ149" s="240"/>
      <c r="AK149" s="13"/>
      <c r="AL149" s="13"/>
      <c r="AM149" s="13"/>
      <c r="AN149" s="13"/>
      <c r="AO149" s="13"/>
      <c r="AP149" s="13"/>
      <c r="AQ149" s="13"/>
      <c r="AR149" s="13"/>
      <c r="AS149" s="13"/>
      <c r="AT149" s="13"/>
      <c r="AU149" s="13"/>
      <c r="AV149" s="13"/>
      <c r="AW149" s="13"/>
      <c r="AX149" s="14"/>
      <c r="AY149" s="14"/>
      <c r="AZ149" s="14"/>
      <c r="BA149" s="14"/>
      <c r="BB149" s="14"/>
      <c r="BC149" s="14"/>
      <c r="BD149" s="14"/>
      <c r="BE149" s="14"/>
      <c r="BF149" s="14"/>
      <c r="BG149" s="14"/>
      <c r="BH149" s="14"/>
      <c r="BI149" s="14"/>
      <c r="BJ149" s="14"/>
    </row>
    <row r="150" spans="1:62" customFormat="1" ht="16.5" customHeight="1">
      <c r="A150" s="236" t="s">
        <v>4</v>
      </c>
      <c r="B150" s="418" t="str">
        <f>Vertaling!B106</f>
      </c>
      <c r="C150" s="418"/>
      <c r="D150" s="418"/>
      <c r="E150" s="263" t="str">
        <f>Vertaling!$B$147</f>
      </c>
      <c r="F150" s="282">
        <f>IF(DATA!$B$94="",0,DATA!$B$94)</f>
      </c>
      <c r="G150" s="237"/>
      <c r="H150" s="240"/>
      <c r="I150" s="240"/>
      <c r="J150" s="240"/>
      <c r="K150" s="240"/>
      <c r="L150" s="240"/>
      <c r="M150" s="240"/>
      <c r="N150" s="240"/>
      <c r="O150" s="240"/>
      <c r="P150" s="240"/>
      <c r="Q150" s="240"/>
      <c r="R150" s="240"/>
      <c r="S150" s="240"/>
      <c r="T150" s="240"/>
      <c r="U150" s="240"/>
      <c r="V150" s="240"/>
      <c r="W150" s="240"/>
      <c r="X150" s="240"/>
      <c r="Y150" s="240"/>
      <c r="Z150" s="240"/>
      <c r="AA150" s="240"/>
      <c r="AB150" s="240"/>
      <c r="AC150" s="240"/>
      <c r="AD150" s="240"/>
      <c r="AE150" s="240"/>
      <c r="AF150" s="240"/>
      <c r="AG150" s="240"/>
      <c r="AH150" s="240"/>
      <c r="AI150" s="240"/>
      <c r="AJ150" s="240"/>
      <c r="AK150" s="13"/>
      <c r="AL150" s="13"/>
      <c r="AM150" s="13"/>
      <c r="AN150" s="13"/>
      <c r="AO150" s="13"/>
      <c r="AP150" s="13"/>
      <c r="AQ150" s="13"/>
      <c r="AR150" s="13"/>
      <c r="AS150" s="13"/>
      <c r="AT150" s="13"/>
      <c r="AU150" s="13"/>
      <c r="AV150" s="13"/>
      <c r="AW150" s="13"/>
      <c r="AX150" s="14"/>
      <c r="AY150" s="14"/>
      <c r="AZ150" s="14"/>
      <c r="BA150" s="14"/>
      <c r="BB150" s="14"/>
      <c r="BC150" s="14"/>
      <c r="BD150" s="14"/>
      <c r="BE150" s="14"/>
      <c r="BF150" s="14"/>
      <c r="BG150" s="14"/>
      <c r="BH150" s="14"/>
      <c r="BI150" s="14"/>
      <c r="BJ150" s="14"/>
    </row>
    <row r="151" spans="1:62" customFormat="1" ht="7.5" customHeight="1">
      <c r="A151" s="70"/>
      <c r="B151" s="353"/>
      <c r="C151" s="264"/>
      <c r="D151" s="237"/>
      <c r="E151" s="264"/>
      <c r="F151" s="237"/>
      <c r="G151" s="237"/>
      <c r="H151" s="240"/>
      <c r="I151" s="240"/>
      <c r="J151" s="240"/>
      <c r="K151" s="240"/>
      <c r="L151" s="240"/>
      <c r="M151" s="240"/>
      <c r="N151" s="240"/>
      <c r="O151" s="240"/>
      <c r="P151" s="240"/>
      <c r="Q151" s="240"/>
      <c r="R151" s="240"/>
      <c r="S151" s="240"/>
      <c r="T151" s="240"/>
      <c r="U151" s="240"/>
      <c r="V151" s="240"/>
      <c r="W151" s="240"/>
      <c r="X151" s="240"/>
      <c r="Y151" s="240"/>
      <c r="Z151" s="240"/>
      <c r="AA151" s="240"/>
      <c r="AB151" s="240"/>
      <c r="AC151" s="240"/>
      <c r="AD151" s="240"/>
      <c r="AE151" s="240"/>
      <c r="AF151" s="240"/>
      <c r="AG151" s="240"/>
      <c r="AH151" s="240"/>
      <c r="AI151" s="240"/>
      <c r="AJ151" s="240"/>
      <c r="AK151" s="13"/>
      <c r="AL151" s="13"/>
      <c r="AM151" s="13"/>
      <c r="AN151" s="13"/>
      <c r="AO151" s="13"/>
      <c r="AP151" s="13"/>
      <c r="AQ151" s="13"/>
      <c r="AR151" s="13"/>
      <c r="AS151" s="13"/>
      <c r="AT151" s="13"/>
      <c r="AU151" s="13"/>
      <c r="AV151" s="13"/>
      <c r="AW151" s="13"/>
      <c r="AX151" s="14"/>
      <c r="AY151" s="14"/>
      <c r="AZ151" s="14"/>
      <c r="BA151" s="14"/>
      <c r="BB151" s="14"/>
      <c r="BC151" s="14"/>
      <c r="BD151" s="14"/>
      <c r="BE151" s="14"/>
      <c r="BF151" s="14"/>
      <c r="BG151" s="14"/>
      <c r="BH151" s="14"/>
      <c r="BI151" s="14"/>
      <c r="BJ151" s="14"/>
    </row>
    <row r="152" spans="1:62" customFormat="1" ht="16.5" customHeight="1">
      <c r="A152" s="236" t="s">
        <v>4</v>
      </c>
      <c r="B152" s="418" t="str">
        <f>Vertaling!B107</f>
      </c>
      <c r="C152" s="418"/>
      <c r="D152" s="418"/>
      <c r="E152" s="263" t="str">
        <f>Vertaling!$B$147</f>
      </c>
      <c r="F152" s="282">
        <f>IF(DATA!$B$95="",0,DATA!$B$95)</f>
      </c>
      <c r="G152" s="237"/>
      <c r="H152" s="240"/>
      <c r="I152" s="240"/>
      <c r="J152" s="240"/>
      <c r="K152" s="240"/>
      <c r="L152" s="240"/>
      <c r="M152" s="240"/>
      <c r="N152" s="240"/>
      <c r="O152" s="240"/>
      <c r="P152" s="240"/>
      <c r="Q152" s="240"/>
      <c r="R152" s="240"/>
      <c r="S152" s="240"/>
      <c r="T152" s="240"/>
      <c r="U152" s="240"/>
      <c r="V152" s="240"/>
      <c r="W152" s="240"/>
      <c r="X152" s="240"/>
      <c r="Y152" s="240"/>
      <c r="Z152" s="240"/>
      <c r="AA152" s="240"/>
      <c r="AB152" s="240"/>
      <c r="AC152" s="240"/>
      <c r="AD152" s="240"/>
      <c r="AE152" s="240"/>
      <c r="AF152" s="240"/>
      <c r="AG152" s="240"/>
      <c r="AH152" s="240"/>
      <c r="AI152" s="240"/>
      <c r="AJ152" s="240"/>
      <c r="AK152" s="13"/>
      <c r="AL152" s="13"/>
      <c r="AM152" s="13"/>
      <c r="AN152" s="13"/>
      <c r="AO152" s="13"/>
      <c r="AP152" s="13"/>
      <c r="AQ152" s="13"/>
      <c r="AR152" s="13"/>
      <c r="AS152" s="13"/>
      <c r="AT152" s="13"/>
      <c r="AU152" s="13"/>
      <c r="AV152" s="13"/>
      <c r="AW152" s="13"/>
      <c r="AX152" s="14"/>
      <c r="AY152" s="14"/>
      <c r="AZ152" s="14"/>
      <c r="BA152" s="14"/>
      <c r="BB152" s="14"/>
      <c r="BC152" s="14"/>
      <c r="BD152" s="14"/>
      <c r="BE152" s="14"/>
      <c r="BF152" s="14"/>
      <c r="BG152" s="14"/>
      <c r="BH152" s="14"/>
      <c r="BI152" s="14"/>
      <c r="BJ152" s="14"/>
    </row>
    <row r="153" spans="1:62" customFormat="1" ht="12.75">
      <c r="A153" s="236" t="s">
        <v>4</v>
      </c>
      <c r="B153" s="353" t="str">
        <f>Vertaling!B108</f>
      </c>
      <c r="C153" s="264"/>
      <c r="D153" s="237"/>
      <c r="E153" s="263"/>
      <c r="F153" s="284">
        <f>SUM(F154:F162)</f>
      </c>
      <c r="G153" s="237"/>
      <c r="H153" s="240"/>
      <c r="I153" s="240"/>
      <c r="J153" s="240"/>
      <c r="K153" s="240"/>
      <c r="L153" s="240"/>
      <c r="M153" s="240"/>
      <c r="N153" s="240"/>
      <c r="O153" s="240"/>
      <c r="P153" s="240"/>
      <c r="Q153" s="240"/>
      <c r="R153" s="240"/>
      <c r="S153" s="240"/>
      <c r="T153" s="240"/>
      <c r="U153" s="240"/>
      <c r="V153" s="240"/>
      <c r="W153" s="240"/>
      <c r="X153" s="240"/>
      <c r="Y153" s="240"/>
      <c r="Z153" s="240"/>
      <c r="AA153" s="240"/>
      <c r="AB153" s="240"/>
      <c r="AC153" s="240"/>
      <c r="AD153" s="240"/>
      <c r="AE153" s="240"/>
      <c r="AF153" s="240"/>
      <c r="AG153" s="240"/>
      <c r="AH153" s="240"/>
      <c r="AI153" s="240"/>
      <c r="AJ153" s="240"/>
      <c r="AK153" s="13"/>
      <c r="AL153" s="13"/>
      <c r="AM153" s="13"/>
      <c r="AN153" s="13"/>
      <c r="AO153" s="13"/>
      <c r="AP153" s="13"/>
      <c r="AQ153" s="13"/>
      <c r="AR153" s="13"/>
      <c r="AS153" s="13"/>
      <c r="AT153" s="13"/>
      <c r="AU153" s="13"/>
      <c r="AV153" s="13"/>
      <c r="AW153" s="13"/>
      <c r="AX153" s="14"/>
      <c r="AY153" s="14"/>
      <c r="AZ153" s="14"/>
      <c r="BA153" s="14"/>
      <c r="BB153" s="14"/>
      <c r="BC153" s="14"/>
      <c r="BD153" s="14"/>
      <c r="BE153" s="14"/>
      <c r="BF153" s="14"/>
      <c r="BG153" s="14"/>
      <c r="BH153" s="14"/>
      <c r="BI153" s="14"/>
      <c r="BJ153" s="14"/>
    </row>
    <row r="154" spans="1:62" customFormat="1" ht="16.5" customHeight="1">
      <c r="A154" s="236"/>
      <c r="B154" s="418" t="str">
        <f>Vertaling!B109</f>
      </c>
      <c r="C154" s="418"/>
      <c r="D154" s="418"/>
      <c r="E154" s="263" t="str">
        <f>Vertaling!$B$147</f>
      </c>
      <c r="F154" s="282">
        <f>IF(DATA!$B$96="",0,DATA!$B$96)</f>
      </c>
      <c r="G154" s="237"/>
      <c r="H154" s="240"/>
      <c r="I154" s="240"/>
      <c r="J154" s="240"/>
      <c r="K154" s="240"/>
      <c r="L154" s="240"/>
      <c r="M154" s="240"/>
      <c r="N154" s="240"/>
      <c r="O154" s="240"/>
      <c r="P154" s="240"/>
      <c r="Q154" s="240"/>
      <c r="R154" s="240"/>
      <c r="S154" s="240"/>
      <c r="T154" s="240"/>
      <c r="U154" s="240"/>
      <c r="V154" s="240"/>
      <c r="W154" s="240"/>
      <c r="X154" s="240"/>
      <c r="Y154" s="240"/>
      <c r="Z154" s="240"/>
      <c r="AA154" s="240"/>
      <c r="AB154" s="240"/>
      <c r="AC154" s="240"/>
      <c r="AD154" s="240"/>
      <c r="AE154" s="240"/>
      <c r="AF154" s="240"/>
      <c r="AG154" s="240"/>
      <c r="AH154" s="240"/>
      <c r="AI154" s="240"/>
      <c r="AJ154" s="240"/>
      <c r="AK154" s="13"/>
      <c r="AL154" s="13"/>
      <c r="AM154" s="13"/>
      <c r="AN154" s="13"/>
      <c r="AO154" s="13"/>
      <c r="AP154" s="13"/>
      <c r="AQ154" s="13"/>
      <c r="AR154" s="13"/>
      <c r="AS154" s="13"/>
      <c r="AT154" s="13"/>
      <c r="AU154" s="13"/>
      <c r="AV154" s="13"/>
      <c r="AW154" s="13"/>
      <c r="AX154" s="14"/>
      <c r="AY154" s="14"/>
      <c r="AZ154" s="14"/>
      <c r="BA154" s="14"/>
      <c r="BB154" s="14"/>
      <c r="BC154" s="14"/>
      <c r="BD154" s="14"/>
      <c r="BE154" s="14"/>
      <c r="BF154" s="14"/>
      <c r="BG154" s="14"/>
      <c r="BH154" s="14"/>
      <c r="BI154" s="14"/>
      <c r="BJ154" s="14"/>
    </row>
    <row r="155" spans="1:62" customFormat="1" ht="7.5" customHeight="1">
      <c r="A155" s="70"/>
      <c r="B155" s="353"/>
      <c r="C155" s="271"/>
      <c r="D155" s="1"/>
      <c r="E155" s="264"/>
      <c r="F155" s="237"/>
      <c r="G155" s="1"/>
      <c r="H155" s="240"/>
      <c r="I155" s="240"/>
      <c r="J155" s="240"/>
      <c r="K155" s="240"/>
      <c r="L155" s="240"/>
      <c r="M155" s="240"/>
      <c r="N155" s="240"/>
      <c r="O155" s="240"/>
      <c r="P155" s="240"/>
      <c r="Q155" s="240"/>
      <c r="R155" s="240"/>
      <c r="S155" s="240"/>
      <c r="T155" s="240"/>
      <c r="U155" s="240"/>
      <c r="V155" s="240"/>
      <c r="W155" s="240"/>
      <c r="X155" s="240"/>
      <c r="Y155" s="240"/>
      <c r="Z155" s="240"/>
      <c r="AA155" s="240"/>
      <c r="AB155" s="240"/>
      <c r="AC155" s="240"/>
      <c r="AD155" s="240"/>
      <c r="AE155" s="240"/>
      <c r="AF155" s="240"/>
      <c r="AG155" s="240"/>
      <c r="AH155" s="240"/>
      <c r="AI155" s="240"/>
      <c r="AJ155" s="240"/>
      <c r="AK155" s="13"/>
      <c r="AL155" s="13"/>
      <c r="AM155" s="13"/>
      <c r="AN155" s="13"/>
      <c r="AO155" s="13"/>
      <c r="AP155" s="13"/>
      <c r="AQ155" s="13"/>
      <c r="AR155" s="13"/>
      <c r="AS155" s="13"/>
      <c r="AT155" s="13"/>
      <c r="AU155" s="13"/>
      <c r="AV155" s="13"/>
      <c r="AW155" s="13"/>
      <c r="AX155" s="14"/>
      <c r="AY155" s="14"/>
      <c r="AZ155" s="14"/>
      <c r="BA155" s="14"/>
      <c r="BB155" s="14"/>
      <c r="BC155" s="14"/>
      <c r="BD155" s="14"/>
      <c r="BE155" s="14"/>
      <c r="BF155" s="14"/>
      <c r="BG155" s="14"/>
      <c r="BH155" s="14"/>
      <c r="BI155" s="14"/>
      <c r="BJ155" s="14"/>
    </row>
    <row r="156" spans="1:62" customFormat="1" ht="16.5" customHeight="1">
      <c r="A156" s="236"/>
      <c r="B156" s="418" t="str">
        <f>Vertaling!B110</f>
      </c>
      <c r="C156" s="418"/>
      <c r="D156" s="418"/>
      <c r="E156" s="263" t="str">
        <f>Vertaling!$B$147</f>
      </c>
      <c r="F156" s="282">
        <f>IF(DATA!$B$97="",0,DATA!$B$97)</f>
      </c>
      <c r="G156" s="237"/>
      <c r="H156" s="240"/>
      <c r="I156" s="240"/>
      <c r="J156" s="240"/>
      <c r="K156" s="240"/>
      <c r="L156" s="240"/>
      <c r="M156" s="240"/>
      <c r="N156" s="240"/>
      <c r="O156" s="240"/>
      <c r="P156" s="240"/>
      <c r="Q156" s="240"/>
      <c r="R156" s="240"/>
      <c r="S156" s="240"/>
      <c r="T156" s="240"/>
      <c r="U156" s="240"/>
      <c r="V156" s="240"/>
      <c r="W156" s="240"/>
      <c r="X156" s="240"/>
      <c r="Y156" s="240"/>
      <c r="Z156" s="240"/>
      <c r="AA156" s="240"/>
      <c r="AB156" s="240"/>
      <c r="AC156" s="240"/>
      <c r="AD156" s="240"/>
      <c r="AE156" s="240"/>
      <c r="AF156" s="240"/>
      <c r="AG156" s="240"/>
      <c r="AH156" s="240"/>
      <c r="AI156" s="240"/>
      <c r="AJ156" s="240"/>
      <c r="AK156" s="13"/>
      <c r="AL156" s="13"/>
      <c r="AM156" s="13"/>
      <c r="AN156" s="13"/>
      <c r="AO156" s="13"/>
      <c r="AP156" s="13"/>
      <c r="AQ156" s="13"/>
      <c r="AR156" s="13"/>
      <c r="AS156" s="13"/>
      <c r="AT156" s="13"/>
      <c r="AU156" s="13"/>
      <c r="AV156" s="13"/>
      <c r="AW156" s="13"/>
      <c r="AX156" s="14"/>
      <c r="AY156" s="14"/>
      <c r="AZ156" s="14"/>
      <c r="BA156" s="14"/>
      <c r="BB156" s="14"/>
      <c r="BC156" s="14"/>
      <c r="BD156" s="14"/>
      <c r="BE156" s="14"/>
      <c r="BF156" s="14"/>
      <c r="BG156" s="14"/>
      <c r="BH156" s="14"/>
      <c r="BI156" s="14"/>
      <c r="BJ156" s="14"/>
    </row>
    <row r="157" spans="1:62" customFormat="1" ht="7.5" customHeight="1">
      <c r="A157" s="70"/>
      <c r="B157" s="353"/>
      <c r="C157" s="271"/>
      <c r="D157" s="1"/>
      <c r="E157" s="264"/>
      <c r="F157" s="237"/>
      <c r="G157" s="1"/>
      <c r="H157" s="240"/>
      <c r="I157" s="240"/>
      <c r="J157" s="240"/>
      <c r="K157" s="240"/>
      <c r="L157" s="240"/>
      <c r="M157" s="240"/>
      <c r="N157" s="240"/>
      <c r="O157" s="240"/>
      <c r="P157" s="240"/>
      <c r="Q157" s="240"/>
      <c r="R157" s="240"/>
      <c r="S157" s="240"/>
      <c r="T157" s="240"/>
      <c r="U157" s="240"/>
      <c r="V157" s="240"/>
      <c r="W157" s="240"/>
      <c r="X157" s="240"/>
      <c r="Y157" s="240"/>
      <c r="Z157" s="240"/>
      <c r="AA157" s="240"/>
      <c r="AB157" s="240"/>
      <c r="AC157" s="240"/>
      <c r="AD157" s="240"/>
      <c r="AE157" s="240"/>
      <c r="AF157" s="240"/>
      <c r="AG157" s="240"/>
      <c r="AH157" s="240"/>
      <c r="AI157" s="240"/>
      <c r="AJ157" s="240"/>
      <c r="AK157" s="13"/>
      <c r="AL157" s="13"/>
      <c r="AM157" s="13"/>
      <c r="AN157" s="13"/>
      <c r="AO157" s="13"/>
      <c r="AP157" s="13"/>
      <c r="AQ157" s="13"/>
      <c r="AR157" s="13"/>
      <c r="AS157" s="13"/>
      <c r="AT157" s="13"/>
      <c r="AU157" s="13"/>
      <c r="AV157" s="13"/>
      <c r="AW157" s="13"/>
      <c r="AX157" s="14"/>
      <c r="AY157" s="14"/>
      <c r="AZ157" s="14"/>
      <c r="BA157" s="14"/>
      <c r="BB157" s="14"/>
      <c r="BC157" s="14"/>
      <c r="BD157" s="14"/>
      <c r="BE157" s="14"/>
      <c r="BF157" s="14"/>
      <c r="BG157" s="14"/>
      <c r="BH157" s="14"/>
      <c r="BI157" s="14"/>
      <c r="BJ157" s="14"/>
    </row>
    <row r="158" spans="1:62" customFormat="1" ht="12.75">
      <c r="A158" s="236"/>
      <c r="B158" s="421" t="str">
        <f>Vertaling!B111</f>
      </c>
      <c r="C158" s="421"/>
      <c r="D158" s="421"/>
      <c r="E158" s="263" t="str">
        <f>Vertaling!$B$147</f>
      </c>
      <c r="F158" s="282">
        <f>IF(DATA!$B$98="",0,DATA!$B$98)</f>
      </c>
      <c r="G158" s="237"/>
      <c r="H158" s="240"/>
      <c r="I158" s="240"/>
      <c r="J158" s="240"/>
      <c r="K158" s="240"/>
      <c r="L158" s="240"/>
      <c r="M158" s="240"/>
      <c r="N158" s="240"/>
      <c r="O158" s="240"/>
      <c r="P158" s="240"/>
      <c r="Q158" s="240"/>
      <c r="R158" s="240"/>
      <c r="S158" s="240"/>
      <c r="T158" s="240"/>
      <c r="U158" s="240"/>
      <c r="V158" s="240"/>
      <c r="W158" s="240"/>
      <c r="X158" s="240"/>
      <c r="Y158" s="240"/>
      <c r="Z158" s="240"/>
      <c r="AA158" s="240"/>
      <c r="AB158" s="240"/>
      <c r="AC158" s="240"/>
      <c r="AD158" s="240"/>
      <c r="AE158" s="240"/>
      <c r="AF158" s="240"/>
      <c r="AG158" s="240"/>
      <c r="AH158" s="240"/>
      <c r="AI158" s="240"/>
      <c r="AJ158" s="240"/>
      <c r="AK158" s="13"/>
      <c r="AL158" s="13"/>
      <c r="AM158" s="13"/>
      <c r="AN158" s="13"/>
      <c r="AO158" s="13"/>
      <c r="AP158" s="13"/>
      <c r="AQ158" s="13"/>
      <c r="AR158" s="13"/>
      <c r="AS158" s="13"/>
      <c r="AT158" s="13"/>
      <c r="AU158" s="13"/>
      <c r="AV158" s="13"/>
      <c r="AW158" s="13"/>
      <c r="AX158" s="14"/>
      <c r="AY158" s="14"/>
      <c r="AZ158" s="14"/>
      <c r="BA158" s="14"/>
      <c r="BB158" s="14"/>
      <c r="BC158" s="14"/>
      <c r="BD158" s="14"/>
      <c r="BE158" s="14"/>
      <c r="BF158" s="14"/>
      <c r="BG158" s="14"/>
      <c r="BH158" s="14"/>
      <c r="BI158" s="14"/>
      <c r="BJ158" s="14"/>
    </row>
    <row r="159" spans="1:62" customFormat="1" ht="7.5" customHeight="1">
      <c r="A159" s="70"/>
      <c r="B159" s="353"/>
      <c r="C159" s="271"/>
      <c r="D159" s="1"/>
      <c r="E159" s="264"/>
      <c r="F159" s="237"/>
      <c r="G159" s="1"/>
      <c r="H159" s="240"/>
      <c r="I159" s="240"/>
      <c r="J159" s="240"/>
      <c r="K159" s="240"/>
      <c r="L159" s="240"/>
      <c r="M159" s="240"/>
      <c r="N159" s="240"/>
      <c r="O159" s="240"/>
      <c r="P159" s="240"/>
      <c r="Q159" s="240"/>
      <c r="R159" s="240"/>
      <c r="S159" s="240"/>
      <c r="T159" s="240"/>
      <c r="U159" s="240"/>
      <c r="V159" s="240"/>
      <c r="W159" s="240"/>
      <c r="X159" s="240"/>
      <c r="Y159" s="240"/>
      <c r="Z159" s="240"/>
      <c r="AA159" s="240"/>
      <c r="AB159" s="240"/>
      <c r="AC159" s="240"/>
      <c r="AD159" s="240"/>
      <c r="AE159" s="240"/>
      <c r="AF159" s="240"/>
      <c r="AG159" s="240"/>
      <c r="AH159" s="240"/>
      <c r="AI159" s="240"/>
      <c r="AJ159" s="240"/>
      <c r="AK159" s="13"/>
      <c r="AL159" s="13"/>
      <c r="AM159" s="13"/>
      <c r="AN159" s="13"/>
      <c r="AO159" s="13"/>
      <c r="AP159" s="13"/>
      <c r="AQ159" s="13"/>
      <c r="AR159" s="13"/>
      <c r="AS159" s="13"/>
      <c r="AT159" s="13"/>
      <c r="AU159" s="13"/>
      <c r="AV159" s="13"/>
      <c r="AW159" s="13"/>
      <c r="AX159" s="14"/>
      <c r="AY159" s="14"/>
      <c r="AZ159" s="14"/>
      <c r="BA159" s="14"/>
      <c r="BB159" s="14"/>
      <c r="BC159" s="14"/>
      <c r="BD159" s="14"/>
      <c r="BE159" s="14"/>
      <c r="BF159" s="14"/>
      <c r="BG159" s="14"/>
      <c r="BH159" s="14"/>
      <c r="BI159" s="14"/>
      <c r="BJ159" s="14"/>
    </row>
    <row r="160" spans="1:62" customFormat="1" ht="16.5" customHeight="1">
      <c r="A160" s="236"/>
      <c r="B160" s="418" t="str">
        <f>Vertaling!B112</f>
      </c>
      <c r="C160" s="418"/>
      <c r="D160" s="418"/>
      <c r="E160" s="263" t="str">
        <f>Vertaling!$B$147</f>
      </c>
      <c r="F160" s="282">
        <f>IF(DATA!$B$99="",0,DATA!$B$99)</f>
      </c>
      <c r="G160" s="237"/>
      <c r="H160" s="240"/>
      <c r="I160" s="240"/>
      <c r="J160" s="240"/>
      <c r="K160" s="240"/>
      <c r="L160" s="240"/>
      <c r="M160" s="240"/>
      <c r="N160" s="240"/>
      <c r="O160" s="240"/>
      <c r="P160" s="240"/>
      <c r="Q160" s="240"/>
      <c r="R160" s="240"/>
      <c r="S160" s="240"/>
      <c r="T160" s="240"/>
      <c r="U160" s="240"/>
      <c r="V160" s="240"/>
      <c r="W160" s="240"/>
      <c r="X160" s="240"/>
      <c r="Y160" s="240"/>
      <c r="Z160" s="240"/>
      <c r="AA160" s="240"/>
      <c r="AB160" s="240"/>
      <c r="AC160" s="240"/>
      <c r="AD160" s="240"/>
      <c r="AE160" s="240"/>
      <c r="AF160" s="240"/>
      <c r="AG160" s="240"/>
      <c r="AH160" s="240"/>
      <c r="AI160" s="240"/>
      <c r="AJ160" s="240"/>
      <c r="AK160" s="13"/>
      <c r="AL160" s="13"/>
      <c r="AM160" s="13"/>
      <c r="AN160" s="13"/>
      <c r="AO160" s="13"/>
      <c r="AP160" s="13"/>
      <c r="AQ160" s="13"/>
      <c r="AR160" s="13"/>
      <c r="AS160" s="13"/>
      <c r="AT160" s="13"/>
      <c r="AU160" s="13"/>
      <c r="AV160" s="13"/>
      <c r="AW160" s="13"/>
      <c r="AX160" s="14"/>
      <c r="AY160" s="14"/>
      <c r="AZ160" s="14"/>
      <c r="BA160" s="14"/>
      <c r="BB160" s="14"/>
      <c r="BC160" s="14"/>
      <c r="BD160" s="14"/>
      <c r="BE160" s="14"/>
      <c r="BF160" s="14"/>
      <c r="BG160" s="14"/>
      <c r="BH160" s="14"/>
      <c r="BI160" s="14"/>
      <c r="BJ160" s="14"/>
    </row>
    <row r="161" spans="1:65" customFormat="1" ht="7.5" customHeight="1">
      <c r="A161" s="70"/>
      <c r="B161" s="353"/>
      <c r="C161" s="271"/>
      <c r="D161" s="1"/>
      <c r="E161" s="264"/>
      <c r="F161" s="237"/>
      <c r="G161" s="1"/>
      <c r="H161" s="240"/>
      <c r="I161" s="240"/>
      <c r="J161" s="240"/>
      <c r="K161" s="240"/>
      <c r="L161" s="240"/>
      <c r="M161" s="240"/>
      <c r="N161" s="240"/>
      <c r="O161" s="240"/>
      <c r="P161" s="240"/>
      <c r="Q161" s="240"/>
      <c r="R161" s="240"/>
      <c r="S161" s="240"/>
      <c r="T161" s="240"/>
      <c r="U161" s="240"/>
      <c r="V161" s="240"/>
      <c r="W161" s="240"/>
      <c r="X161" s="240"/>
      <c r="Y161" s="240"/>
      <c r="Z161" s="240"/>
      <c r="AA161" s="240"/>
      <c r="AB161" s="240"/>
      <c r="AC161" s="240"/>
      <c r="AD161" s="240"/>
      <c r="AE161" s="240"/>
      <c r="AF161" s="240"/>
      <c r="AG161" s="240"/>
      <c r="AH161" s="240"/>
      <c r="AI161" s="240"/>
      <c r="AJ161" s="240"/>
      <c r="AK161" s="13"/>
      <c r="AL161" s="13"/>
      <c r="AM161" s="13"/>
      <c r="AN161" s="13"/>
      <c r="AO161" s="13"/>
      <c r="AP161" s="13"/>
      <c r="AQ161" s="13"/>
      <c r="AR161" s="13"/>
      <c r="AS161" s="13"/>
      <c r="AT161" s="13"/>
      <c r="AU161" s="13"/>
      <c r="AV161" s="13"/>
      <c r="AW161" s="13"/>
      <c r="AX161" s="14"/>
      <c r="AY161" s="14"/>
      <c r="AZ161" s="14"/>
      <c r="BA161" s="14"/>
      <c r="BB161" s="14"/>
      <c r="BC161" s="14"/>
      <c r="BD161" s="14"/>
      <c r="BE161" s="14"/>
      <c r="BF161" s="14"/>
      <c r="BG161" s="14"/>
      <c r="BH161" s="14"/>
      <c r="BI161" s="14"/>
      <c r="BJ161" s="14"/>
    </row>
    <row r="162" spans="1:65" customFormat="1" ht="16.5" customHeight="1">
      <c r="A162" s="236"/>
      <c r="B162" s="418" t="str">
        <f>Vertaling!B113</f>
      </c>
      <c r="C162" s="418"/>
      <c r="D162" s="418"/>
      <c r="E162" s="263" t="str">
        <f>Vertaling!$B$147</f>
      </c>
      <c r="F162" s="282">
        <f>IF(DATA!$B$100="",0,DATA!$B$100)</f>
      </c>
      <c r="G162" s="237"/>
      <c r="H162" s="240"/>
      <c r="I162" s="240"/>
      <c r="J162" s="240"/>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13"/>
      <c r="AL162" s="13"/>
      <c r="AM162" s="13"/>
      <c r="AN162" s="13"/>
      <c r="AO162" s="13"/>
      <c r="AP162" s="13"/>
      <c r="AQ162" s="13"/>
      <c r="AR162" s="13"/>
      <c r="AS162" s="13"/>
      <c r="AT162" s="13"/>
      <c r="AU162" s="13"/>
      <c r="AV162" s="13"/>
      <c r="AW162" s="13"/>
      <c r="AX162" s="14"/>
      <c r="AY162" s="14"/>
      <c r="AZ162" s="14"/>
      <c r="BA162" s="14"/>
      <c r="BB162" s="14"/>
      <c r="BC162" s="14"/>
      <c r="BD162" s="14"/>
      <c r="BE162" s="14"/>
      <c r="BF162" s="14"/>
      <c r="BG162" s="14"/>
      <c r="BH162" s="14"/>
      <c r="BI162" s="14"/>
      <c r="BJ162" s="14"/>
    </row>
    <row r="163" spans="1:65" customFormat="1" ht="12.75">
      <c r="A163" s="70"/>
      <c r="B163" s="353"/>
      <c r="C163" s="271"/>
      <c r="D163" s="1"/>
      <c r="E163" s="265"/>
      <c r="F163" s="1"/>
      <c r="G163" s="1"/>
      <c r="H163" s="240"/>
      <c r="I163" s="240"/>
      <c r="J163" s="240"/>
      <c r="K163" s="240"/>
      <c r="L163" s="240"/>
      <c r="M163" s="240"/>
      <c r="N163" s="240"/>
      <c r="O163" s="240"/>
      <c r="P163" s="240"/>
      <c r="Q163" s="240"/>
      <c r="R163" s="240"/>
      <c r="S163" s="240"/>
      <c r="T163" s="240"/>
      <c r="U163" s="240"/>
      <c r="V163" s="240"/>
      <c r="W163" s="240"/>
      <c r="X163" s="240"/>
      <c r="Y163" s="240"/>
      <c r="Z163" s="240"/>
      <c r="AA163" s="240"/>
      <c r="AB163" s="240"/>
      <c r="AC163" s="240"/>
      <c r="AD163" s="240"/>
      <c r="AE163" s="240"/>
      <c r="AF163" s="240"/>
      <c r="AG163" s="240"/>
      <c r="AH163" s="240"/>
      <c r="AI163" s="240"/>
      <c r="AJ163" s="240"/>
      <c r="AK163" s="13"/>
      <c r="AL163" s="13"/>
      <c r="AM163" s="13"/>
      <c r="AN163" s="13"/>
      <c r="AO163" s="13"/>
      <c r="AP163" s="13"/>
      <c r="AQ163" s="13"/>
      <c r="AR163" s="13"/>
      <c r="AS163" s="13"/>
      <c r="AT163" s="13"/>
      <c r="AU163" s="13"/>
      <c r="AV163" s="13"/>
      <c r="AW163" s="13"/>
      <c r="AX163" s="14"/>
      <c r="AY163" s="14"/>
      <c r="AZ163" s="14"/>
      <c r="BA163" s="14"/>
      <c r="BB163" s="14"/>
      <c r="BC163" s="14"/>
      <c r="BD163" s="14"/>
      <c r="BE163" s="14"/>
      <c r="BF163" s="14"/>
      <c r="BG163" s="14"/>
      <c r="BH163" s="14"/>
      <c r="BI163" s="14"/>
      <c r="BJ163" s="14"/>
    </row>
    <row r="164" spans="1:65" customFormat="1" ht="12.75">
      <c r="A164" s="70"/>
      <c r="B164" s="234" t="str">
        <f>Vertaling!B114</f>
      </c>
      <c r="C164" s="268"/>
      <c r="D164" s="278" t="s">
        <v>5</v>
      </c>
      <c r="E164" s="265"/>
      <c r="F164" s="278" t="s">
        <v>6</v>
      </c>
      <c r="G164" s="1"/>
      <c r="H164" s="240"/>
      <c r="I164" s="240"/>
      <c r="J164" s="240"/>
      <c r="K164" s="240"/>
      <c r="L164" s="240"/>
      <c r="M164" s="240"/>
      <c r="N164" s="240"/>
      <c r="O164" s="240"/>
      <c r="P164" s="240"/>
      <c r="Q164" s="240"/>
      <c r="R164" s="240"/>
      <c r="S164" s="240"/>
      <c r="T164" s="240"/>
      <c r="U164" s="240"/>
      <c r="V164" s="240"/>
      <c r="W164" s="240"/>
      <c r="X164" s="240"/>
      <c r="Y164" s="240"/>
      <c r="Z164" s="240"/>
      <c r="AA164" s="240"/>
      <c r="AB164" s="240"/>
      <c r="AC164" s="240"/>
      <c r="AD164" s="240"/>
      <c r="AE164" s="240"/>
      <c r="AF164" s="240"/>
      <c r="AG164" s="240"/>
      <c r="AH164" s="240"/>
      <c r="AI164" s="240"/>
      <c r="AJ164" s="240"/>
      <c r="AK164" s="13"/>
      <c r="AL164" s="13"/>
      <c r="AM164" s="13"/>
      <c r="AN164" s="13"/>
      <c r="AO164" s="13"/>
      <c r="AP164" s="13"/>
      <c r="AQ164" s="13"/>
      <c r="AR164" s="13"/>
      <c r="AS164" s="13"/>
      <c r="AT164" s="13"/>
      <c r="AU164" s="13"/>
      <c r="AV164" s="13"/>
      <c r="AW164" s="13"/>
      <c r="AX164" s="14"/>
      <c r="AY164" s="14"/>
      <c r="AZ164" s="14"/>
      <c r="BA164" s="14"/>
      <c r="BB164" s="14"/>
      <c r="BC164" s="14"/>
      <c r="BD164" s="14"/>
      <c r="BE164" s="14"/>
      <c r="BF164" s="14"/>
      <c r="BG164" s="14"/>
      <c r="BH164" s="14"/>
      <c r="BI164" s="14"/>
      <c r="BJ164" s="14"/>
    </row>
    <row r="165" spans="1:65" customFormat="1" ht="30" customHeight="1">
      <c r="A165" s="91" t="str">
        <f>CONCATENATE(LEFT(A141,2)+1,".")</f>
      </c>
      <c r="B165" s="71" t="str">
        <f>Vertaling!B115</f>
      </c>
      <c r="C165" s="263" t="str">
        <f>Vertaling!$B$145</f>
      </c>
      <c r="D165" s="281" t="s">
        <v>1320</v>
      </c>
      <c r="E165" s="263" t="str">
        <f>Vertaling!$B$145</f>
      </c>
      <c r="F165" s="281" t="str">
        <f>IF(DATA!B143="si",dropdowns!B2,dropdowns!B3)</f>
      </c>
      <c r="G165" s="244"/>
      <c r="H165" s="240"/>
      <c r="I165" s="240"/>
      <c r="J165" s="240"/>
      <c r="K165" s="240"/>
      <c r="L165" s="240"/>
      <c r="M165" s="240"/>
      <c r="N165" s="240"/>
      <c r="O165" s="240"/>
      <c r="P165" s="240"/>
      <c r="Q165" s="240"/>
      <c r="R165" s="240"/>
      <c r="S165" s="240"/>
      <c r="T165" s="240"/>
      <c r="U165" s="240"/>
      <c r="V165" s="240"/>
      <c r="W165" s="240"/>
      <c r="X165" s="240"/>
      <c r="Y165" s="240"/>
      <c r="Z165" s="240"/>
      <c r="AA165" s="240"/>
      <c r="AB165" s="240"/>
      <c r="AC165" s="240"/>
      <c r="AD165" s="240"/>
      <c r="AE165" s="240"/>
      <c r="AF165" s="240"/>
      <c r="AG165" s="240"/>
      <c r="AH165" s="240"/>
      <c r="AI165" s="240"/>
      <c r="AJ165" s="240"/>
      <c r="AK165" s="13"/>
      <c r="AL165" s="13"/>
      <c r="AM165" s="13"/>
      <c r="AN165" s="13"/>
      <c r="AO165" s="13"/>
      <c r="AP165" s="13"/>
      <c r="AQ165" s="13"/>
      <c r="AR165" s="13"/>
      <c r="AS165" s="13"/>
      <c r="AT165" s="13"/>
      <c r="AU165" s="13"/>
      <c r="AV165" s="13"/>
      <c r="AW165" s="13"/>
      <c r="AX165" s="14"/>
      <c r="AY165" s="14"/>
      <c r="AZ165" s="14"/>
      <c r="BA165" s="14"/>
      <c r="BB165" s="14"/>
      <c r="BC165" s="14"/>
      <c r="BD165" s="14"/>
      <c r="BE165" s="14"/>
      <c r="BF165" s="14"/>
      <c r="BG165" s="14"/>
      <c r="BH165" s="14"/>
      <c r="BI165" s="14"/>
      <c r="BJ165" s="14"/>
    </row>
    <row r="166" spans="1:65" customFormat="1" ht="7.5" customHeight="1">
      <c r="A166" s="70"/>
      <c r="B166" s="353"/>
      <c r="C166" s="264"/>
      <c r="D166" s="191"/>
      <c r="E166" s="264"/>
      <c r="F166" s="191"/>
      <c r="G166" s="1"/>
      <c r="H166" s="240"/>
      <c r="I166" s="240"/>
      <c r="J166" s="240"/>
      <c r="K166" s="240"/>
      <c r="L166" s="240"/>
      <c r="M166" s="240"/>
      <c r="N166" s="240"/>
      <c r="O166" s="240"/>
      <c r="P166" s="240"/>
      <c r="Q166" s="240"/>
      <c r="R166" s="240"/>
      <c r="S166" s="240"/>
      <c r="T166" s="240"/>
      <c r="U166" s="240"/>
      <c r="V166" s="240"/>
      <c r="W166" s="240"/>
      <c r="X166" s="240"/>
      <c r="Y166" s="240"/>
      <c r="Z166" s="240"/>
      <c r="AA166" s="240"/>
      <c r="AB166" s="240"/>
      <c r="AC166" s="240"/>
      <c r="AD166" s="240"/>
      <c r="AE166" s="240"/>
      <c r="AF166" s="240"/>
      <c r="AG166" s="240"/>
      <c r="AH166" s="240"/>
      <c r="AI166" s="240"/>
      <c r="AJ166" s="240"/>
      <c r="AK166" s="13"/>
      <c r="AL166" s="13"/>
      <c r="AM166" s="13"/>
      <c r="AN166" s="13"/>
      <c r="AO166" s="13"/>
      <c r="AP166" s="13"/>
      <c r="AQ166" s="13"/>
      <c r="AR166" s="13"/>
      <c r="AS166" s="13"/>
      <c r="AT166" s="13"/>
      <c r="AU166" s="13"/>
      <c r="AV166" s="13"/>
      <c r="AW166" s="13"/>
      <c r="AX166" s="14"/>
      <c r="AY166" s="14"/>
      <c r="AZ166" s="14"/>
      <c r="BA166" s="14"/>
      <c r="BB166" s="14"/>
      <c r="BC166" s="14"/>
      <c r="BD166" s="14"/>
      <c r="BE166" s="14"/>
      <c r="BF166" s="14"/>
      <c r="BG166" s="14"/>
      <c r="BH166" s="14"/>
      <c r="BI166" s="14"/>
      <c r="BJ166" s="14"/>
    </row>
    <row r="167" spans="1:65" customFormat="1" ht="54" customHeight="1">
      <c r="A167" s="91" t="str">
        <f>CONCATENATE(LEFT(A165,2)+1,".")</f>
      </c>
      <c r="B167" s="71" t="str">
        <f>Vertaling!B116</f>
      </c>
      <c r="C167" s="263" t="str">
        <f>Vertaling!B159</f>
      </c>
      <c r="D167" s="280">
        <f>IF($B167="",0,IF(DATA!$B$102="",0,DATA!$B$102))</f>
      </c>
      <c r="E167" s="263" t="str">
        <f>Vertaling!B162</f>
      </c>
      <c r="F167" s="280">
        <f>IF($B167="",0,IF(DATA!$B$144="",0,DATA!$B$144))</f>
      </c>
      <c r="G167" s="244"/>
      <c r="H167" s="240"/>
      <c r="I167" s="240"/>
      <c r="J167" s="240"/>
      <c r="K167" s="240"/>
      <c r="L167" s="240"/>
      <c r="M167" s="240"/>
      <c r="N167" s="240"/>
      <c r="O167" s="240"/>
      <c r="P167" s="240"/>
      <c r="Q167" s="240"/>
      <c r="R167" s="240"/>
      <c r="S167" s="240"/>
      <c r="T167" s="240"/>
      <c r="U167" s="240"/>
      <c r="V167" s="240"/>
      <c r="W167" s="240"/>
      <c r="X167" s="240"/>
      <c r="Y167" s="240"/>
      <c r="Z167" s="240"/>
      <c r="AA167" s="240"/>
      <c r="AB167" s="240"/>
      <c r="AC167" s="240"/>
      <c r="AD167" s="240"/>
      <c r="AE167" s="240"/>
      <c r="AF167" s="240"/>
      <c r="AG167" s="240"/>
      <c r="AH167" s="240"/>
      <c r="AI167" s="240"/>
      <c r="AJ167" s="240"/>
      <c r="AK167" s="13"/>
      <c r="AL167" s="13"/>
      <c r="AM167" s="13"/>
      <c r="AN167" s="13"/>
      <c r="AO167" s="13"/>
      <c r="AP167" s="13"/>
      <c r="AQ167" s="13"/>
      <c r="AR167" s="13"/>
      <c r="AS167" s="13"/>
      <c r="AT167" s="13"/>
      <c r="AU167" s="13"/>
      <c r="AV167" s="13"/>
      <c r="AW167" s="13"/>
      <c r="AX167" s="14"/>
      <c r="AY167" s="14"/>
      <c r="AZ167" s="14"/>
      <c r="BA167" s="14"/>
      <c r="BB167" s="14"/>
      <c r="BC167" s="14"/>
      <c r="BD167" s="14"/>
      <c r="BE167" s="14"/>
      <c r="BF167" s="14"/>
      <c r="BG167" s="14"/>
      <c r="BH167" s="14"/>
      <c r="BI167" s="14"/>
      <c r="BJ167" s="14"/>
    </row>
    <row r="168" spans="1:65" customFormat="1" ht="7.5" customHeight="1">
      <c r="A168" s="70"/>
      <c r="B168" s="353"/>
      <c r="C168" s="264"/>
      <c r="D168" s="191"/>
      <c r="E168" s="264"/>
      <c r="F168" s="191"/>
      <c r="G168" s="1"/>
      <c r="H168" s="240"/>
      <c r="I168" s="240"/>
      <c r="J168" s="240"/>
      <c r="K168" s="240"/>
      <c r="L168" s="240"/>
      <c r="M168" s="240"/>
      <c r="N168" s="240"/>
      <c r="O168" s="240"/>
      <c r="P168" s="240"/>
      <c r="Q168" s="240"/>
      <c r="R168" s="240"/>
      <c r="S168" s="240"/>
      <c r="T168" s="240"/>
      <c r="U168" s="240"/>
      <c r="V168" s="240"/>
      <c r="W168" s="240"/>
      <c r="X168" s="240"/>
      <c r="Y168" s="240"/>
      <c r="Z168" s="240"/>
      <c r="AA168" s="240"/>
      <c r="AB168" s="240"/>
      <c r="AC168" s="240"/>
      <c r="AD168" s="240"/>
      <c r="AE168" s="240"/>
      <c r="AF168" s="240"/>
      <c r="AG168" s="240"/>
      <c r="AH168" s="240"/>
      <c r="AI168" s="240"/>
      <c r="AJ168" s="240"/>
      <c r="AK168" s="13"/>
      <c r="AL168" s="13"/>
      <c r="AM168" s="13"/>
      <c r="AN168" s="13"/>
      <c r="AO168" s="13"/>
      <c r="AP168" s="13"/>
      <c r="AQ168" s="13"/>
      <c r="AR168" s="13"/>
      <c r="AS168" s="13"/>
      <c r="AT168" s="13"/>
      <c r="AU168" s="13"/>
      <c r="AV168" s="13"/>
      <c r="AW168" s="13"/>
      <c r="AX168" s="14"/>
      <c r="AY168" s="14"/>
      <c r="AZ168" s="14"/>
      <c r="BA168" s="14"/>
      <c r="BB168" s="14"/>
      <c r="BC168" s="14"/>
      <c r="BD168" s="14"/>
      <c r="BE168" s="14"/>
      <c r="BF168" s="14"/>
      <c r="BG168" s="14"/>
      <c r="BH168" s="14"/>
      <c r="BI168" s="14"/>
      <c r="BJ168" s="14"/>
    </row>
    <row r="169" spans="1:65" customFormat="1" ht="16.5" customHeight="1">
      <c r="A169" s="91" t="str">
        <f>CONCATENATE(LEFT(A167,2)+1,".")</f>
      </c>
      <c r="B169" s="353" t="str">
        <f>Vertaling!B117</f>
      </c>
      <c r="C169" s="263" t="str">
        <f>Vertaling!B160</f>
      </c>
      <c r="D169" s="280">
        <f>IF($B167="",0,IF(DATA!$B$103="",0,DATA!$B$103))</f>
      </c>
      <c r="E169" s="263" t="str">
        <f>Vertaling!B163</f>
      </c>
      <c r="F169" s="280">
        <f>IF($B169="",0,IF(DATA!$B$145="",0,DATA!$B$145))</f>
      </c>
      <c r="G169" s="244"/>
      <c r="H169" s="240"/>
      <c r="I169" s="240"/>
      <c r="J169" s="240"/>
      <c r="K169" s="240"/>
      <c r="L169" s="240"/>
      <c r="M169" s="240"/>
      <c r="N169" s="240"/>
      <c r="O169" s="240"/>
      <c r="P169" s="240"/>
      <c r="Q169" s="240"/>
      <c r="R169" s="240"/>
      <c r="S169" s="240"/>
      <c r="T169" s="240"/>
      <c r="U169" s="240"/>
      <c r="V169" s="240"/>
      <c r="W169" s="240"/>
      <c r="X169" s="240"/>
      <c r="Y169" s="240"/>
      <c r="Z169" s="240"/>
      <c r="AA169" s="240"/>
      <c r="AB169" s="240"/>
      <c r="AC169" s="240"/>
      <c r="AD169" s="240"/>
      <c r="AE169" s="240"/>
      <c r="AF169" s="240"/>
      <c r="AG169" s="240"/>
      <c r="AH169" s="240"/>
      <c r="AI169" s="240"/>
      <c r="AJ169" s="240"/>
      <c r="AK169" s="13"/>
      <c r="AL169" s="13"/>
      <c r="AM169" s="13"/>
      <c r="AN169" s="13"/>
      <c r="AO169" s="13"/>
      <c r="AP169" s="13"/>
      <c r="AQ169" s="13"/>
      <c r="AR169" s="13"/>
      <c r="AS169" s="13"/>
      <c r="AT169" s="13"/>
      <c r="AU169" s="13"/>
      <c r="AV169" s="13"/>
      <c r="AW169" s="13"/>
      <c r="AX169" s="14"/>
      <c r="AY169" s="14"/>
      <c r="AZ169" s="14"/>
      <c r="BA169" s="14"/>
      <c r="BB169" s="14"/>
      <c r="BC169" s="14"/>
      <c r="BD169" s="14"/>
      <c r="BE169" s="14"/>
      <c r="BF169" s="14"/>
      <c r="BG169" s="14"/>
      <c r="BH169" s="14"/>
      <c r="BI169" s="14"/>
      <c r="BJ169" s="14"/>
    </row>
    <row r="170" spans="1:65" customFormat="1" ht="7.5" customHeight="1">
      <c r="A170" s="70"/>
      <c r="B170" s="353"/>
      <c r="C170" s="264"/>
      <c r="D170" s="191"/>
      <c r="E170" s="264"/>
      <c r="F170" s="191"/>
      <c r="G170" s="1"/>
      <c r="H170" s="240"/>
      <c r="I170" s="240"/>
      <c r="J170" s="240"/>
      <c r="K170" s="240"/>
      <c r="L170" s="240"/>
      <c r="M170" s="240"/>
      <c r="N170" s="240"/>
      <c r="O170" s="240"/>
      <c r="P170" s="240"/>
      <c r="Q170" s="240"/>
      <c r="R170" s="240"/>
      <c r="S170" s="240"/>
      <c r="T170" s="240"/>
      <c r="U170" s="240"/>
      <c r="V170" s="240"/>
      <c r="W170" s="240"/>
      <c r="X170" s="240"/>
      <c r="Y170" s="240"/>
      <c r="Z170" s="240"/>
      <c r="AA170" s="240"/>
      <c r="AB170" s="240"/>
      <c r="AC170" s="240"/>
      <c r="AD170" s="240"/>
      <c r="AE170" s="240"/>
      <c r="AF170" s="240"/>
      <c r="AG170" s="240"/>
      <c r="AH170" s="240"/>
      <c r="AI170" s="240"/>
      <c r="AJ170" s="240"/>
      <c r="AK170" s="13"/>
      <c r="AL170" s="13"/>
      <c r="AM170" s="13"/>
      <c r="AN170" s="13"/>
      <c r="AO170" s="13"/>
      <c r="AP170" s="13"/>
      <c r="AQ170" s="13"/>
      <c r="AR170" s="13"/>
      <c r="AS170" s="13"/>
      <c r="AT170" s="13"/>
      <c r="AU170" s="13"/>
      <c r="AV170" s="13"/>
      <c r="AW170" s="13"/>
      <c r="AX170" s="14"/>
      <c r="AY170" s="14"/>
      <c r="AZ170" s="14"/>
      <c r="BA170" s="14"/>
      <c r="BB170" s="14"/>
      <c r="BC170" s="14"/>
      <c r="BD170" s="14"/>
      <c r="BE170" s="14"/>
      <c r="BF170" s="14"/>
      <c r="BG170" s="14"/>
      <c r="BH170" s="14"/>
      <c r="BI170" s="14"/>
      <c r="BJ170" s="14"/>
    </row>
    <row r="171" spans="1:65" customFormat="1" ht="16.5" customHeight="1">
      <c r="A171" s="91" t="str">
        <f>CONCATENATE(LEFT(A169,2)+1,".")</f>
      </c>
      <c r="B171" s="353" t="str">
        <f>Vertaling!B118</f>
      </c>
      <c r="C171" s="263" t="str">
        <f>Vertaling!B161</f>
      </c>
      <c r="D171" s="280" t="str">
        <f>IF(DATA!B104=0,"Immediatamente",IF(DATA!B104="","Immediatamente",IF(DATA!B104=dropdowns!B8,"Immediatamente",IF(DATA!B104=dropdowns!B9,"Entro 30 giorni",IF(DATA!B104=dropdowns!B10,"Entro 60 giorni",IF(DATA!B104=dropdowns!B11,"Entro 90 giorni","Immediatamente"))))))</f>
      </c>
      <c r="E171" s="263" t="str">
        <f>Vertaling!B164</f>
      </c>
      <c r="F171" s="280" t="str">
        <f>IF(DATA!B146=0,"Immediatamente",IF(DATA!B146="","Immediatamente",IF(DATA!B146=dropdowns!B8,"Immediatamente",IF(DATA!B146=dropdowns!B9,"Entro 30 giorni",IF(DATA!B146=dropdowns!B10,"Entro 60 giorni",IF(DATA!B146=dropdowns!B11,"Entro 90 giorni","Immediatamente"))))))</f>
      </c>
      <c r="G171" s="1"/>
      <c r="H171" s="240"/>
      <c r="I171" s="240"/>
      <c r="J171" s="240"/>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13"/>
      <c r="AL171" s="13"/>
      <c r="AM171" s="13"/>
      <c r="AN171" s="13"/>
      <c r="AO171" s="13"/>
      <c r="AP171" s="13"/>
      <c r="AQ171" s="13"/>
      <c r="AR171" s="13"/>
      <c r="AS171" s="13"/>
      <c r="AT171" s="13"/>
      <c r="AU171" s="13"/>
      <c r="AV171" s="13"/>
      <c r="AW171" s="13"/>
      <c r="AX171" s="14"/>
      <c r="AY171" s="14"/>
      <c r="AZ171" s="14"/>
      <c r="BA171" s="14"/>
      <c r="BB171" s="14"/>
      <c r="BC171" s="14"/>
      <c r="BD171" s="14"/>
      <c r="BE171" s="14"/>
      <c r="BF171" s="14"/>
      <c r="BG171" s="14"/>
      <c r="BH171" s="14"/>
      <c r="BI171" s="14"/>
      <c r="BJ171" s="14"/>
    </row>
    <row r="172" spans="1:65" customFormat="1" ht="16.5" customHeight="1">
      <c r="A172" s="70"/>
      <c r="B172" s="353"/>
      <c r="C172" s="271"/>
      <c r="D172" s="2"/>
      <c r="E172" s="265"/>
      <c r="F172" s="2"/>
      <c r="G172" s="1"/>
      <c r="H172" s="240"/>
      <c r="I172" s="240"/>
      <c r="J172" s="240"/>
      <c r="K172" s="240"/>
      <c r="L172" s="240"/>
      <c r="M172" s="240"/>
      <c r="N172" s="240"/>
      <c r="O172" s="240"/>
      <c r="P172" s="240"/>
      <c r="Q172" s="240"/>
      <c r="R172" s="240"/>
      <c r="S172" s="240"/>
      <c r="T172" s="240"/>
      <c r="U172" s="240"/>
      <c r="V172" s="240"/>
      <c r="W172" s="240"/>
      <c r="X172" s="240"/>
      <c r="Y172" s="240"/>
      <c r="Z172" s="240"/>
      <c r="AA172" s="240"/>
      <c r="AB172" s="240"/>
      <c r="AC172" s="240"/>
      <c r="AD172" s="240"/>
      <c r="AE172" s="240"/>
      <c r="AF172" s="240"/>
      <c r="AG172" s="240"/>
      <c r="AH172" s="240"/>
      <c r="AI172" s="240"/>
      <c r="AJ172" s="240"/>
      <c r="AK172" s="13"/>
      <c r="AL172" s="13"/>
      <c r="AM172" s="13"/>
      <c r="AN172" s="13"/>
      <c r="AO172" s="13"/>
      <c r="AP172" s="13"/>
      <c r="AQ172" s="13"/>
      <c r="AR172" s="13"/>
      <c r="AS172" s="13"/>
      <c r="AT172" s="13"/>
      <c r="AU172" s="13"/>
      <c r="AV172" s="13"/>
      <c r="AW172" s="13"/>
      <c r="AX172" s="14"/>
      <c r="AY172" s="14"/>
      <c r="AZ172" s="14"/>
      <c r="BA172" s="14"/>
      <c r="BB172" s="14"/>
      <c r="BC172" s="14"/>
      <c r="BD172" s="14"/>
      <c r="BE172" s="14"/>
      <c r="BF172" s="14"/>
      <c r="BG172" s="14"/>
      <c r="BH172" s="14"/>
      <c r="BI172" s="14"/>
      <c r="BJ172" s="14"/>
    </row>
    <row r="173" spans="1:65" customFormat="1" ht="25.5" hidden="1">
      <c r="A173" s="70"/>
      <c r="B173" s="249" t="str">
        <f>Vertaling!B115</f>
      </c>
      <c r="C173" s="271"/>
      <c r="D173" s="2"/>
      <c r="E173" s="268"/>
      <c r="F173" s="2"/>
      <c r="G173" s="1"/>
      <c r="H173" s="240"/>
      <c r="I173" s="240"/>
      <c r="J173" s="240"/>
      <c r="K173" s="240"/>
      <c r="L173" s="240"/>
      <c r="M173" s="240"/>
      <c r="N173" s="240"/>
      <c r="O173" s="240"/>
      <c r="P173" s="240"/>
      <c r="Q173" s="240"/>
      <c r="R173" s="240"/>
      <c r="S173" s="240"/>
      <c r="T173" s="240"/>
      <c r="U173" s="240"/>
      <c r="V173" s="240"/>
      <c r="W173" s="240"/>
      <c r="X173" s="240"/>
      <c r="Y173" s="240"/>
      <c r="Z173" s="240"/>
      <c r="AA173" s="240"/>
      <c r="AB173" s="240"/>
      <c r="AC173" s="240"/>
      <c r="AD173" s="240"/>
      <c r="AE173" s="240"/>
      <c r="AF173" s="240"/>
      <c r="AG173" s="240"/>
      <c r="AH173" s="240"/>
      <c r="AI173" s="240"/>
      <c r="AJ173" s="240"/>
      <c r="AK173" s="13"/>
      <c r="AL173" s="13"/>
      <c r="AM173" s="13"/>
      <c r="AN173" s="13"/>
      <c r="AO173" s="13"/>
      <c r="AP173" s="13"/>
      <c r="AQ173" s="13"/>
      <c r="AR173" s="13"/>
      <c r="AS173" s="13"/>
      <c r="AT173" s="13"/>
      <c r="AU173" s="13"/>
      <c r="AV173" s="13"/>
      <c r="AW173" s="13"/>
      <c r="AX173" s="14"/>
      <c r="AY173" s="14"/>
      <c r="AZ173" s="14"/>
      <c r="BA173" s="14"/>
      <c r="BB173" s="14"/>
      <c r="BC173" s="14"/>
      <c r="BD173" s="14"/>
      <c r="BE173" s="14"/>
      <c r="BF173" s="14"/>
      <c r="BG173" s="14"/>
      <c r="BH173" s="14"/>
      <c r="BI173" s="14"/>
      <c r="BJ173" s="14"/>
    </row>
    <row r="174" spans="1:65" customFormat="1" ht="15.75" hidden="1" customHeight="1" thickBot="1">
      <c r="A174" s="91" t="str">
        <f>CONCATENATE(LEFT(A171,2)+1,".")</f>
      </c>
      <c r="B174" s="353" t="s">
        <v>7</v>
      </c>
      <c r="C174" s="265"/>
      <c r="D174" s="252" t="s">
        <v>8</v>
      </c>
      <c r="E174" s="265"/>
      <c r="F174" s="252" t="s">
        <v>8</v>
      </c>
      <c r="G174" s="237"/>
      <c r="H174" s="240"/>
      <c r="I174" s="240"/>
      <c r="J174" s="240"/>
      <c r="K174" s="240"/>
      <c r="L174" s="240"/>
      <c r="M174" s="240"/>
      <c r="N174" s="240"/>
      <c r="O174" s="240"/>
      <c r="P174" s="240"/>
      <c r="Q174" s="240"/>
      <c r="R174" s="240"/>
      <c r="S174" s="240"/>
      <c r="T174" s="240"/>
      <c r="U174" s="240"/>
      <c r="V174" s="240"/>
      <c r="W174" s="240"/>
      <c r="X174" s="240"/>
      <c r="Y174" s="240"/>
      <c r="Z174" s="240"/>
      <c r="AA174" s="240"/>
      <c r="AB174" s="240"/>
      <c r="AC174" s="240"/>
      <c r="AD174" s="240"/>
      <c r="AE174" s="240"/>
      <c r="AF174" s="240"/>
      <c r="AG174" s="240"/>
      <c r="AH174" s="240"/>
      <c r="AI174" s="240"/>
      <c r="AJ174" s="240"/>
      <c r="AK174" s="13"/>
      <c r="AL174" s="13"/>
      <c r="AM174" s="13"/>
      <c r="AN174" s="13"/>
      <c r="AO174" s="13"/>
      <c r="AP174" s="13"/>
      <c r="AQ174" s="13"/>
      <c r="AR174" s="13"/>
      <c r="AS174" s="13"/>
      <c r="AT174" s="13"/>
      <c r="AU174" s="13"/>
      <c r="AV174" s="13"/>
      <c r="AW174" s="13"/>
      <c r="AX174" s="14"/>
      <c r="AY174" s="14"/>
      <c r="AZ174" s="14"/>
      <c r="BA174" s="14"/>
      <c r="BB174" s="14"/>
      <c r="BC174" s="14"/>
      <c r="BD174" s="14"/>
      <c r="BE174" s="14"/>
      <c r="BF174" s="14"/>
      <c r="BG174" s="14"/>
      <c r="BH174" s="14"/>
      <c r="BI174" s="14"/>
      <c r="BJ174" s="14"/>
    </row>
    <row r="175" spans="1:65" s="1" customFormat="1" hidden="1" thickTop="1" thickBot="1">
      <c r="A175" s="91" t="s">
        <v>4</v>
      </c>
      <c r="B175" s="353" t="s">
        <v>9</v>
      </c>
      <c r="C175" s="263" t="s">
        <v>10</v>
      </c>
      <c r="D175" s="253">
        <f>D257*$D$167</f>
      </c>
      <c r="E175" s="263" t="s">
        <v>10</v>
      </c>
      <c r="F175" s="253">
        <f>F257*$F$167</f>
      </c>
      <c r="G175" s="353"/>
      <c r="H175" s="246"/>
      <c r="I175" s="246"/>
      <c r="J175" s="246"/>
      <c r="K175" s="246"/>
      <c r="L175" s="246"/>
      <c r="M175" s="246"/>
      <c r="N175" s="246"/>
      <c r="O175" s="246"/>
      <c r="P175" s="246"/>
      <c r="Q175" s="246"/>
      <c r="R175" s="246"/>
      <c r="S175" s="246"/>
      <c r="T175" s="246"/>
      <c r="U175" s="246"/>
      <c r="V175" s="246"/>
      <c r="W175" s="246"/>
      <c r="X175" s="246"/>
      <c r="Y175" s="246"/>
      <c r="Z175" s="246"/>
      <c r="AA175" s="246"/>
      <c r="AB175" s="246"/>
      <c r="AC175" s="246"/>
      <c r="AD175" s="246"/>
      <c r="AE175" s="246"/>
      <c r="AF175" s="246"/>
      <c r="AG175" s="246"/>
      <c r="AH175" s="246"/>
      <c r="AI175" s="246"/>
      <c r="AJ175" s="246"/>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353"/>
      <c r="BL175" s="353"/>
      <c r="BM175" s="353"/>
    </row>
    <row r="176" spans="1:65" customFormat="1" ht="7.5" hidden="1" customHeight="1" thickTop="1" thickBot="1">
      <c r="A176" s="236"/>
      <c r="B176" s="353"/>
      <c r="C176" s="263"/>
      <c r="D176" s="235"/>
      <c r="E176" s="263"/>
      <c r="F176" s="235"/>
      <c r="G176" s="237"/>
      <c r="H176" s="240"/>
      <c r="I176" s="240"/>
      <c r="J176" s="240"/>
      <c r="K176" s="240"/>
      <c r="L176" s="240"/>
      <c r="M176" s="240"/>
      <c r="N176" s="240"/>
      <c r="O176" s="240"/>
      <c r="P176" s="240"/>
      <c r="Q176" s="240"/>
      <c r="R176" s="240"/>
      <c r="S176" s="240"/>
      <c r="T176" s="240"/>
      <c r="U176" s="240"/>
      <c r="V176" s="240"/>
      <c r="W176" s="240"/>
      <c r="X176" s="240"/>
      <c r="Y176" s="240"/>
      <c r="Z176" s="240"/>
      <c r="AA176" s="240"/>
      <c r="AB176" s="240"/>
      <c r="AC176" s="240"/>
      <c r="AD176" s="240"/>
      <c r="AE176" s="240"/>
      <c r="AF176" s="240"/>
      <c r="AG176" s="240"/>
      <c r="AH176" s="240"/>
      <c r="AI176" s="240"/>
      <c r="AJ176" s="240"/>
      <c r="AK176" s="13"/>
      <c r="AL176" s="13"/>
      <c r="AM176" s="13"/>
      <c r="AN176" s="13"/>
      <c r="AO176" s="13"/>
      <c r="AP176" s="13"/>
      <c r="AQ176" s="13"/>
      <c r="AR176" s="13"/>
      <c r="AS176" s="13"/>
      <c r="AT176" s="13"/>
      <c r="AU176" s="13"/>
      <c r="AV176" s="13"/>
      <c r="AW176" s="13"/>
      <c r="AX176" s="14"/>
      <c r="AY176" s="14"/>
      <c r="AZ176" s="14"/>
      <c r="BA176" s="14"/>
      <c r="BB176" s="14"/>
      <c r="BC176" s="14"/>
      <c r="BD176" s="14"/>
      <c r="BE176" s="14"/>
      <c r="BF176" s="14"/>
      <c r="BG176" s="14"/>
      <c r="BH176" s="14"/>
      <c r="BI176" s="14"/>
      <c r="BJ176" s="14"/>
    </row>
    <row r="177" spans="1:65" s="1" customFormat="1" hidden="1" thickTop="1" thickBot="1">
      <c r="A177" s="91" t="s">
        <v>4</v>
      </c>
      <c r="B177" s="353" t="s">
        <v>11</v>
      </c>
      <c r="C177" s="263" t="s">
        <v>10</v>
      </c>
      <c r="D177" s="253">
        <f>D259*$D$167</f>
      </c>
      <c r="E177" s="263" t="s">
        <v>10</v>
      </c>
      <c r="F177" s="253">
        <f>F259*$F$167</f>
      </c>
      <c r="G177" s="353"/>
      <c r="H177" s="246"/>
      <c r="I177" s="246"/>
      <c r="J177" s="246"/>
      <c r="K177" s="246"/>
      <c r="L177" s="246"/>
      <c r="M177" s="246"/>
      <c r="N177" s="246"/>
      <c r="O177" s="246"/>
      <c r="P177" s="246"/>
      <c r="Q177" s="246"/>
      <c r="R177" s="246"/>
      <c r="S177" s="246"/>
      <c r="T177" s="246"/>
      <c r="U177" s="246"/>
      <c r="V177" s="246"/>
      <c r="W177" s="246"/>
      <c r="X177" s="246"/>
      <c r="Y177" s="246"/>
      <c r="Z177" s="246"/>
      <c r="AA177" s="246"/>
      <c r="AB177" s="246"/>
      <c r="AC177" s="246"/>
      <c r="AD177" s="246"/>
      <c r="AE177" s="246"/>
      <c r="AF177" s="246"/>
      <c r="AG177" s="246"/>
      <c r="AH177" s="246"/>
      <c r="AI177" s="246"/>
      <c r="AJ177" s="246"/>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353"/>
      <c r="BL177" s="353"/>
      <c r="BM177" s="353"/>
    </row>
    <row r="178" spans="1:65" customFormat="1" ht="7.5" hidden="1" customHeight="1" thickTop="1" thickBot="1">
      <c r="A178" s="236"/>
      <c r="B178" s="353"/>
      <c r="C178" s="263"/>
      <c r="D178" s="235"/>
      <c r="E178" s="263"/>
      <c r="F178" s="235"/>
      <c r="G178" s="237"/>
      <c r="H178" s="240"/>
      <c r="I178" s="240"/>
      <c r="J178" s="240"/>
      <c r="K178" s="240"/>
      <c r="L178" s="240"/>
      <c r="M178" s="240"/>
      <c r="N178" s="240"/>
      <c r="O178" s="240"/>
      <c r="P178" s="240"/>
      <c r="Q178" s="240"/>
      <c r="R178" s="240"/>
      <c r="S178" s="240"/>
      <c r="T178" s="240"/>
      <c r="U178" s="240"/>
      <c r="V178" s="240"/>
      <c r="W178" s="240"/>
      <c r="X178" s="240"/>
      <c r="Y178" s="240"/>
      <c r="Z178" s="240"/>
      <c r="AA178" s="240"/>
      <c r="AB178" s="240"/>
      <c r="AC178" s="240"/>
      <c r="AD178" s="240"/>
      <c r="AE178" s="240"/>
      <c r="AF178" s="240"/>
      <c r="AG178" s="240"/>
      <c r="AH178" s="240"/>
      <c r="AI178" s="240"/>
      <c r="AJ178" s="240"/>
      <c r="AK178" s="13"/>
      <c r="AL178" s="13"/>
      <c r="AM178" s="13"/>
      <c r="AN178" s="13"/>
      <c r="AO178" s="13"/>
      <c r="AP178" s="13"/>
      <c r="AQ178" s="13"/>
      <c r="AR178" s="13"/>
      <c r="AS178" s="13"/>
      <c r="AT178" s="13"/>
      <c r="AU178" s="13"/>
      <c r="AV178" s="13"/>
      <c r="AW178" s="13"/>
      <c r="AX178" s="14"/>
      <c r="AY178" s="14"/>
      <c r="AZ178" s="14"/>
      <c r="BA178" s="14"/>
      <c r="BB178" s="14"/>
      <c r="BC178" s="14"/>
      <c r="BD178" s="14"/>
      <c r="BE178" s="14"/>
      <c r="BF178" s="14"/>
      <c r="BG178" s="14"/>
      <c r="BH178" s="14"/>
      <c r="BI178" s="14"/>
      <c r="BJ178" s="14"/>
    </row>
    <row r="179" spans="1:65" s="1" customFormat="1" hidden="1" thickTop="1" thickBot="1">
      <c r="A179" s="91" t="s">
        <v>4</v>
      </c>
      <c r="B179" s="353" t="s">
        <v>12</v>
      </c>
      <c r="C179" s="263" t="s">
        <v>10</v>
      </c>
      <c r="D179" s="253">
        <f>D261*$D$167</f>
      </c>
      <c r="E179" s="263" t="s">
        <v>10</v>
      </c>
      <c r="F179" s="253">
        <f>F261*$F$167</f>
      </c>
      <c r="G179" s="353"/>
      <c r="H179" s="246"/>
      <c r="I179" s="246"/>
      <c r="J179" s="246"/>
      <c r="K179" s="246"/>
      <c r="L179" s="246"/>
      <c r="M179" s="246"/>
      <c r="N179" s="246"/>
      <c r="O179" s="246"/>
      <c r="P179" s="246"/>
      <c r="Q179" s="246"/>
      <c r="R179" s="246"/>
      <c r="S179" s="246"/>
      <c r="T179" s="246"/>
      <c r="U179" s="246"/>
      <c r="V179" s="246"/>
      <c r="W179" s="246"/>
      <c r="X179" s="246"/>
      <c r="Y179" s="246"/>
      <c r="Z179" s="246"/>
      <c r="AA179" s="246"/>
      <c r="AB179" s="246"/>
      <c r="AC179" s="246"/>
      <c r="AD179" s="246"/>
      <c r="AE179" s="246"/>
      <c r="AF179" s="246"/>
      <c r="AG179" s="246"/>
      <c r="AH179" s="246"/>
      <c r="AI179" s="246"/>
      <c r="AJ179" s="246"/>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353"/>
      <c r="BL179" s="353"/>
      <c r="BM179" s="353"/>
    </row>
    <row r="180" spans="1:65" customFormat="1" ht="7.5" hidden="1" customHeight="1" thickTop="1" thickBot="1">
      <c r="A180" s="236"/>
      <c r="B180" s="353"/>
      <c r="C180" s="263"/>
      <c r="D180" s="235"/>
      <c r="E180" s="263"/>
      <c r="F180" s="235"/>
      <c r="G180" s="237"/>
      <c r="H180" s="240"/>
      <c r="I180" s="240"/>
      <c r="J180" s="240"/>
      <c r="K180" s="240"/>
      <c r="L180" s="240"/>
      <c r="M180" s="240"/>
      <c r="N180" s="240"/>
      <c r="O180" s="240"/>
      <c r="P180" s="240"/>
      <c r="Q180" s="240"/>
      <c r="R180" s="240"/>
      <c r="S180" s="240"/>
      <c r="T180" s="240"/>
      <c r="U180" s="240"/>
      <c r="V180" s="240"/>
      <c r="W180" s="240"/>
      <c r="X180" s="240"/>
      <c r="Y180" s="240"/>
      <c r="Z180" s="240"/>
      <c r="AA180" s="240"/>
      <c r="AB180" s="240"/>
      <c r="AC180" s="240"/>
      <c r="AD180" s="240"/>
      <c r="AE180" s="240"/>
      <c r="AF180" s="240"/>
      <c r="AG180" s="240"/>
      <c r="AH180" s="240"/>
      <c r="AI180" s="240"/>
      <c r="AJ180" s="240"/>
      <c r="AK180" s="13"/>
      <c r="AL180" s="13"/>
      <c r="AM180" s="13"/>
      <c r="AN180" s="13"/>
      <c r="AO180" s="13"/>
      <c r="AP180" s="13"/>
      <c r="AQ180" s="13"/>
      <c r="AR180" s="13"/>
      <c r="AS180" s="13"/>
      <c r="AT180" s="13"/>
      <c r="AU180" s="13"/>
      <c r="AV180" s="13"/>
      <c r="AW180" s="13"/>
      <c r="AX180" s="14"/>
      <c r="AY180" s="14"/>
      <c r="AZ180" s="14"/>
      <c r="BA180" s="14"/>
      <c r="BB180" s="14"/>
      <c r="BC180" s="14"/>
      <c r="BD180" s="14"/>
      <c r="BE180" s="14"/>
      <c r="BF180" s="14"/>
      <c r="BG180" s="14"/>
      <c r="BH180" s="14"/>
      <c r="BI180" s="14"/>
      <c r="BJ180" s="14"/>
    </row>
    <row r="181" spans="1:65" s="1" customFormat="1" hidden="1" thickTop="1" thickBot="1">
      <c r="A181" s="91" t="s">
        <v>4</v>
      </c>
      <c r="B181" s="353" t="s">
        <v>13</v>
      </c>
      <c r="C181" s="263" t="s">
        <v>10</v>
      </c>
      <c r="D181" s="253">
        <f>D263*$D$167</f>
      </c>
      <c r="E181" s="263" t="s">
        <v>10</v>
      </c>
      <c r="F181" s="253">
        <f>F263*$F$167</f>
      </c>
      <c r="G181" s="353"/>
      <c r="H181" s="246"/>
      <c r="I181" s="246"/>
      <c r="J181" s="246"/>
      <c r="K181" s="246"/>
      <c r="L181" s="246"/>
      <c r="M181" s="246"/>
      <c r="N181" s="246"/>
      <c r="O181" s="246"/>
      <c r="P181" s="246"/>
      <c r="Q181" s="246"/>
      <c r="R181" s="246"/>
      <c r="S181" s="246"/>
      <c r="T181" s="246"/>
      <c r="U181" s="246"/>
      <c r="V181" s="246"/>
      <c r="W181" s="246"/>
      <c r="X181" s="246"/>
      <c r="Y181" s="246"/>
      <c r="Z181" s="246"/>
      <c r="AA181" s="246"/>
      <c r="AB181" s="246"/>
      <c r="AC181" s="246"/>
      <c r="AD181" s="246"/>
      <c r="AE181" s="246"/>
      <c r="AF181" s="246"/>
      <c r="AG181" s="246"/>
      <c r="AH181" s="246"/>
      <c r="AI181" s="246"/>
      <c r="AJ181" s="246"/>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353"/>
      <c r="BL181" s="353"/>
      <c r="BM181" s="353"/>
    </row>
    <row r="182" spans="1:65" customFormat="1" ht="7.5" hidden="1" customHeight="1" thickTop="1" thickBot="1">
      <c r="A182" s="236"/>
      <c r="B182" s="353"/>
      <c r="C182" s="263"/>
      <c r="D182" s="235"/>
      <c r="E182" s="263"/>
      <c r="F182" s="235"/>
      <c r="G182" s="237"/>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13"/>
      <c r="AL182" s="13"/>
      <c r="AM182" s="13"/>
      <c r="AN182" s="13"/>
      <c r="AO182" s="13"/>
      <c r="AP182" s="13"/>
      <c r="AQ182" s="13"/>
      <c r="AR182" s="13"/>
      <c r="AS182" s="13"/>
      <c r="AT182" s="13"/>
      <c r="AU182" s="13"/>
      <c r="AV182" s="13"/>
      <c r="AW182" s="13"/>
      <c r="AX182" s="14"/>
      <c r="AY182" s="14"/>
      <c r="AZ182" s="14"/>
      <c r="BA182" s="14"/>
      <c r="BB182" s="14"/>
      <c r="BC182" s="14"/>
      <c r="BD182" s="14"/>
      <c r="BE182" s="14"/>
      <c r="BF182" s="14"/>
      <c r="BG182" s="14"/>
      <c r="BH182" s="14"/>
      <c r="BI182" s="14"/>
      <c r="BJ182" s="14"/>
    </row>
    <row r="183" spans="1:65" s="1" customFormat="1" hidden="1" thickTop="1" thickBot="1">
      <c r="A183" s="91" t="s">
        <v>4</v>
      </c>
      <c r="B183" s="353" t="s">
        <v>14</v>
      </c>
      <c r="C183" s="263" t="s">
        <v>10</v>
      </c>
      <c r="D183" s="253">
        <f>D265*$D$167</f>
      </c>
      <c r="E183" s="263" t="s">
        <v>10</v>
      </c>
      <c r="F183" s="253">
        <f>F265*$F$167</f>
      </c>
      <c r="G183" s="353"/>
      <c r="H183" s="246"/>
      <c r="I183" s="246"/>
      <c r="J183" s="246"/>
      <c r="K183" s="246"/>
      <c r="L183" s="246"/>
      <c r="M183" s="246"/>
      <c r="N183" s="246"/>
      <c r="O183" s="246"/>
      <c r="P183" s="246"/>
      <c r="Q183" s="246"/>
      <c r="R183" s="246"/>
      <c r="S183" s="246"/>
      <c r="T183" s="246"/>
      <c r="U183" s="246"/>
      <c r="V183" s="246"/>
      <c r="W183" s="246"/>
      <c r="X183" s="246"/>
      <c r="Y183" s="246"/>
      <c r="Z183" s="246"/>
      <c r="AA183" s="246"/>
      <c r="AB183" s="246"/>
      <c r="AC183" s="246"/>
      <c r="AD183" s="246"/>
      <c r="AE183" s="246"/>
      <c r="AF183" s="246"/>
      <c r="AG183" s="246"/>
      <c r="AH183" s="246"/>
      <c r="AI183" s="246"/>
      <c r="AJ183" s="246"/>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353"/>
      <c r="BL183" s="353"/>
      <c r="BM183" s="353"/>
    </row>
    <row r="184" spans="1:65" customFormat="1" ht="7.5" hidden="1" customHeight="1" thickTop="1" thickBot="1">
      <c r="A184" s="236"/>
      <c r="B184" s="353"/>
      <c r="C184" s="263"/>
      <c r="D184" s="235"/>
      <c r="E184" s="263"/>
      <c r="F184" s="235"/>
      <c r="G184" s="237"/>
      <c r="H184" s="240"/>
      <c r="I184" s="240"/>
      <c r="J184" s="240"/>
      <c r="K184" s="240"/>
      <c r="L184" s="240"/>
      <c r="M184" s="240"/>
      <c r="N184" s="240"/>
      <c r="O184" s="240"/>
      <c r="P184" s="240"/>
      <c r="Q184" s="240"/>
      <c r="R184" s="240"/>
      <c r="S184" s="240"/>
      <c r="T184" s="240"/>
      <c r="U184" s="240"/>
      <c r="V184" s="240"/>
      <c r="W184" s="240"/>
      <c r="X184" s="240"/>
      <c r="Y184" s="240"/>
      <c r="Z184" s="240"/>
      <c r="AA184" s="240"/>
      <c r="AB184" s="240"/>
      <c r="AC184" s="240"/>
      <c r="AD184" s="240"/>
      <c r="AE184" s="240"/>
      <c r="AF184" s="240"/>
      <c r="AG184" s="240"/>
      <c r="AH184" s="240"/>
      <c r="AI184" s="240"/>
      <c r="AJ184" s="240"/>
      <c r="AK184" s="13"/>
      <c r="AL184" s="13"/>
      <c r="AM184" s="13"/>
      <c r="AN184" s="13"/>
      <c r="AO184" s="13"/>
      <c r="AP184" s="13"/>
      <c r="AQ184" s="13"/>
      <c r="AR184" s="13"/>
      <c r="AS184" s="13"/>
      <c r="AT184" s="13"/>
      <c r="AU184" s="13"/>
      <c r="AV184" s="13"/>
      <c r="AW184" s="13"/>
      <c r="AX184" s="14"/>
      <c r="AY184" s="14"/>
      <c r="AZ184" s="14"/>
      <c r="BA184" s="14"/>
      <c r="BB184" s="14"/>
      <c r="BC184" s="14"/>
      <c r="BD184" s="14"/>
      <c r="BE184" s="14"/>
      <c r="BF184" s="14"/>
      <c r="BG184" s="14"/>
      <c r="BH184" s="14"/>
      <c r="BI184" s="14"/>
      <c r="BJ184" s="14"/>
    </row>
    <row r="185" spans="1:65" s="1" customFormat="1" hidden="1" thickTop="1" thickBot="1">
      <c r="A185" s="91" t="s">
        <v>4</v>
      </c>
      <c r="B185" s="353" t="s">
        <v>15</v>
      </c>
      <c r="C185" s="263" t="s">
        <v>10</v>
      </c>
      <c r="D185" s="253">
        <f>D267*$D$167</f>
      </c>
      <c r="E185" s="263" t="s">
        <v>10</v>
      </c>
      <c r="F185" s="253">
        <f>F267*$F$167</f>
      </c>
      <c r="G185" s="353"/>
      <c r="H185" s="246"/>
      <c r="I185" s="246"/>
      <c r="J185" s="246"/>
      <c r="K185" s="246"/>
      <c r="L185" s="246"/>
      <c r="M185" s="246"/>
      <c r="N185" s="246"/>
      <c r="O185" s="246"/>
      <c r="P185" s="246"/>
      <c r="Q185" s="246"/>
      <c r="R185" s="246"/>
      <c r="S185" s="246"/>
      <c r="T185" s="246"/>
      <c r="U185" s="246"/>
      <c r="V185" s="246"/>
      <c r="W185" s="246"/>
      <c r="X185" s="246"/>
      <c r="Y185" s="246"/>
      <c r="Z185" s="246"/>
      <c r="AA185" s="246"/>
      <c r="AB185" s="246"/>
      <c r="AC185" s="246"/>
      <c r="AD185" s="246"/>
      <c r="AE185" s="246"/>
      <c r="AF185" s="246"/>
      <c r="AG185" s="246"/>
      <c r="AH185" s="246"/>
      <c r="AI185" s="246"/>
      <c r="AJ185" s="246"/>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353"/>
      <c r="BL185" s="353"/>
      <c r="BM185" s="353"/>
    </row>
    <row r="186" spans="1:65" customFormat="1" ht="7.5" hidden="1" customHeight="1" thickTop="1" thickBot="1">
      <c r="A186" s="236"/>
      <c r="B186" s="353"/>
      <c r="C186" s="263"/>
      <c r="D186" s="235"/>
      <c r="E186" s="263"/>
      <c r="F186" s="235"/>
      <c r="G186" s="237"/>
      <c r="H186" s="240"/>
      <c r="I186" s="240"/>
      <c r="J186" s="240"/>
      <c r="K186" s="240"/>
      <c r="L186" s="240"/>
      <c r="M186" s="240"/>
      <c r="N186" s="240"/>
      <c r="O186" s="240"/>
      <c r="P186" s="240"/>
      <c r="Q186" s="240"/>
      <c r="R186" s="240"/>
      <c r="S186" s="240"/>
      <c r="T186" s="240"/>
      <c r="U186" s="240"/>
      <c r="V186" s="240"/>
      <c r="W186" s="240"/>
      <c r="X186" s="240"/>
      <c r="Y186" s="240"/>
      <c r="Z186" s="240"/>
      <c r="AA186" s="240"/>
      <c r="AB186" s="240"/>
      <c r="AC186" s="240"/>
      <c r="AD186" s="240"/>
      <c r="AE186" s="240"/>
      <c r="AF186" s="240"/>
      <c r="AG186" s="240"/>
      <c r="AH186" s="240"/>
      <c r="AI186" s="240"/>
      <c r="AJ186" s="240"/>
      <c r="AK186" s="13"/>
      <c r="AL186" s="13"/>
      <c r="AM186" s="13"/>
      <c r="AN186" s="13"/>
      <c r="AO186" s="13"/>
      <c r="AP186" s="13"/>
      <c r="AQ186" s="13"/>
      <c r="AR186" s="13"/>
      <c r="AS186" s="13"/>
      <c r="AT186" s="13"/>
      <c r="AU186" s="13"/>
      <c r="AV186" s="13"/>
      <c r="AW186" s="13"/>
      <c r="AX186" s="14"/>
      <c r="AY186" s="14"/>
      <c r="AZ186" s="14"/>
      <c r="BA186" s="14"/>
      <c r="BB186" s="14"/>
      <c r="BC186" s="14"/>
      <c r="BD186" s="14"/>
      <c r="BE186" s="14"/>
      <c r="BF186" s="14"/>
      <c r="BG186" s="14"/>
      <c r="BH186" s="14"/>
      <c r="BI186" s="14"/>
      <c r="BJ186" s="14"/>
    </row>
    <row r="187" spans="1:65" s="1" customFormat="1" hidden="1" thickTop="1" thickBot="1">
      <c r="A187" s="91" t="s">
        <v>4</v>
      </c>
      <c r="B187" s="353" t="s">
        <v>16</v>
      </c>
      <c r="C187" s="263" t="s">
        <v>10</v>
      </c>
      <c r="D187" s="253">
        <f>D269*$D$167</f>
      </c>
      <c r="E187" s="263" t="s">
        <v>10</v>
      </c>
      <c r="F187" s="253">
        <f>F269*$F$167</f>
      </c>
      <c r="G187" s="353"/>
      <c r="H187" s="246"/>
      <c r="I187" s="246"/>
      <c r="J187" s="246"/>
      <c r="K187" s="246"/>
      <c r="L187" s="246"/>
      <c r="M187" s="246"/>
      <c r="N187" s="246"/>
      <c r="O187" s="246"/>
      <c r="P187" s="246"/>
      <c r="Q187" s="246"/>
      <c r="R187" s="246"/>
      <c r="S187" s="246"/>
      <c r="T187" s="246"/>
      <c r="U187" s="246"/>
      <c r="V187" s="246"/>
      <c r="W187" s="246"/>
      <c r="X187" s="246"/>
      <c r="Y187" s="246"/>
      <c r="Z187" s="246"/>
      <c r="AA187" s="246"/>
      <c r="AB187" s="246"/>
      <c r="AC187" s="246"/>
      <c r="AD187" s="246"/>
      <c r="AE187" s="246"/>
      <c r="AF187" s="246"/>
      <c r="AG187" s="246"/>
      <c r="AH187" s="246"/>
      <c r="AI187" s="246"/>
      <c r="AJ187" s="246"/>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353"/>
      <c r="BL187" s="353"/>
      <c r="BM187" s="353"/>
    </row>
    <row r="188" spans="1:65" customFormat="1" ht="7.5" hidden="1" customHeight="1" thickTop="1" thickBot="1">
      <c r="A188" s="236"/>
      <c r="B188" s="353"/>
      <c r="C188" s="263"/>
      <c r="D188" s="235"/>
      <c r="E188" s="263"/>
      <c r="F188" s="235"/>
      <c r="G188" s="237"/>
      <c r="H188" s="240"/>
      <c r="I188" s="240"/>
      <c r="J188" s="240"/>
      <c r="K188" s="240"/>
      <c r="L188" s="240"/>
      <c r="M188" s="240"/>
      <c r="N188" s="240"/>
      <c r="O188" s="240"/>
      <c r="P188" s="240"/>
      <c r="Q188" s="240"/>
      <c r="R188" s="240"/>
      <c r="S188" s="240"/>
      <c r="T188" s="240"/>
      <c r="U188" s="240"/>
      <c r="V188" s="240"/>
      <c r="W188" s="240"/>
      <c r="X188" s="240"/>
      <c r="Y188" s="240"/>
      <c r="Z188" s="240"/>
      <c r="AA188" s="240"/>
      <c r="AB188" s="240"/>
      <c r="AC188" s="240"/>
      <c r="AD188" s="240"/>
      <c r="AE188" s="240"/>
      <c r="AF188" s="240"/>
      <c r="AG188" s="240"/>
      <c r="AH188" s="240"/>
      <c r="AI188" s="240"/>
      <c r="AJ188" s="240"/>
      <c r="AK188" s="13"/>
      <c r="AL188" s="13"/>
      <c r="AM188" s="13"/>
      <c r="AN188" s="13"/>
      <c r="AO188" s="13"/>
      <c r="AP188" s="13"/>
      <c r="AQ188" s="13"/>
      <c r="AR188" s="13"/>
      <c r="AS188" s="13"/>
      <c r="AT188" s="13"/>
      <c r="AU188" s="13"/>
      <c r="AV188" s="13"/>
      <c r="AW188" s="13"/>
      <c r="AX188" s="14"/>
      <c r="AY188" s="14"/>
      <c r="AZ188" s="14"/>
      <c r="BA188" s="14"/>
      <c r="BB188" s="14"/>
      <c r="BC188" s="14"/>
      <c r="BD188" s="14"/>
      <c r="BE188" s="14"/>
      <c r="BF188" s="14"/>
      <c r="BG188" s="14"/>
      <c r="BH188" s="14"/>
      <c r="BI188" s="14"/>
      <c r="BJ188" s="14"/>
    </row>
    <row r="189" spans="1:65" s="1" customFormat="1" hidden="1" thickTop="1" thickBot="1">
      <c r="A189" s="91" t="s">
        <v>4</v>
      </c>
      <c r="B189" s="353" t="s">
        <v>17</v>
      </c>
      <c r="C189" s="263" t="s">
        <v>10</v>
      </c>
      <c r="D189" s="253">
        <f>D271*$D$167</f>
      </c>
      <c r="E189" s="263" t="s">
        <v>10</v>
      </c>
      <c r="F189" s="253">
        <f>F271*$F$167</f>
      </c>
      <c r="G189" s="353"/>
      <c r="H189" s="246"/>
      <c r="I189" s="246"/>
      <c r="J189" s="246"/>
      <c r="K189" s="246"/>
      <c r="L189" s="246"/>
      <c r="M189" s="246"/>
      <c r="N189" s="246"/>
      <c r="O189" s="246"/>
      <c r="P189" s="246"/>
      <c r="Q189" s="246"/>
      <c r="R189" s="246"/>
      <c r="S189" s="246"/>
      <c r="T189" s="246"/>
      <c r="U189" s="246"/>
      <c r="V189" s="246"/>
      <c r="W189" s="246"/>
      <c r="X189" s="246"/>
      <c r="Y189" s="246"/>
      <c r="Z189" s="246"/>
      <c r="AA189" s="246"/>
      <c r="AB189" s="246"/>
      <c r="AC189" s="246"/>
      <c r="AD189" s="246"/>
      <c r="AE189" s="246"/>
      <c r="AF189" s="246"/>
      <c r="AG189" s="246"/>
      <c r="AH189" s="246"/>
      <c r="AI189" s="246"/>
      <c r="AJ189" s="246"/>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353"/>
      <c r="BL189" s="353"/>
      <c r="BM189" s="353"/>
    </row>
    <row r="190" spans="1:65" customFormat="1" ht="7.5" hidden="1" customHeight="1" thickTop="1" thickBot="1">
      <c r="A190" s="236"/>
      <c r="B190" s="353"/>
      <c r="C190" s="263"/>
      <c r="D190" s="235"/>
      <c r="E190" s="263"/>
      <c r="F190" s="235"/>
      <c r="G190" s="237"/>
      <c r="H190" s="240"/>
      <c r="I190" s="240"/>
      <c r="J190" s="240"/>
      <c r="K190" s="240"/>
      <c r="L190" s="240"/>
      <c r="M190" s="240"/>
      <c r="N190" s="240"/>
      <c r="O190" s="240"/>
      <c r="P190" s="240"/>
      <c r="Q190" s="240"/>
      <c r="R190" s="240"/>
      <c r="S190" s="240"/>
      <c r="T190" s="240"/>
      <c r="U190" s="240"/>
      <c r="V190" s="240"/>
      <c r="W190" s="240"/>
      <c r="X190" s="240"/>
      <c r="Y190" s="240"/>
      <c r="Z190" s="240"/>
      <c r="AA190" s="240"/>
      <c r="AB190" s="240"/>
      <c r="AC190" s="240"/>
      <c r="AD190" s="240"/>
      <c r="AE190" s="240"/>
      <c r="AF190" s="240"/>
      <c r="AG190" s="240"/>
      <c r="AH190" s="240"/>
      <c r="AI190" s="240"/>
      <c r="AJ190" s="240"/>
      <c r="AK190" s="13"/>
      <c r="AL190" s="13"/>
      <c r="AM190" s="13"/>
      <c r="AN190" s="13"/>
      <c r="AO190" s="13"/>
      <c r="AP190" s="13"/>
      <c r="AQ190" s="13"/>
      <c r="AR190" s="13"/>
      <c r="AS190" s="13"/>
      <c r="AT190" s="13"/>
      <c r="AU190" s="13"/>
      <c r="AV190" s="13"/>
      <c r="AW190" s="13"/>
      <c r="AX190" s="14"/>
      <c r="AY190" s="14"/>
      <c r="AZ190" s="14"/>
      <c r="BA190" s="14"/>
      <c r="BB190" s="14"/>
      <c r="BC190" s="14"/>
      <c r="BD190" s="14"/>
      <c r="BE190" s="14"/>
      <c r="BF190" s="14"/>
      <c r="BG190" s="14"/>
      <c r="BH190" s="14"/>
      <c r="BI190" s="14"/>
      <c r="BJ190" s="14"/>
    </row>
    <row r="191" spans="1:65" s="1" customFormat="1" hidden="1" thickTop="1" thickBot="1">
      <c r="A191" s="91" t="s">
        <v>4</v>
      </c>
      <c r="B191" s="353" t="s">
        <v>18</v>
      </c>
      <c r="C191" s="263" t="s">
        <v>10</v>
      </c>
      <c r="D191" s="253">
        <f>D273*$D$167</f>
      </c>
      <c r="E191" s="263" t="s">
        <v>10</v>
      </c>
      <c r="F191" s="253">
        <f>F273*$F$167</f>
      </c>
      <c r="G191" s="353"/>
      <c r="H191" s="246"/>
      <c r="I191" s="246"/>
      <c r="J191" s="246"/>
      <c r="K191" s="246"/>
      <c r="L191" s="246"/>
      <c r="M191" s="246"/>
      <c r="N191" s="246"/>
      <c r="O191" s="246"/>
      <c r="P191" s="246"/>
      <c r="Q191" s="246"/>
      <c r="R191" s="246"/>
      <c r="S191" s="246"/>
      <c r="T191" s="246"/>
      <c r="U191" s="246"/>
      <c r="V191" s="246"/>
      <c r="W191" s="246"/>
      <c r="X191" s="246"/>
      <c r="Y191" s="246"/>
      <c r="Z191" s="246"/>
      <c r="AA191" s="246"/>
      <c r="AB191" s="246"/>
      <c r="AC191" s="246"/>
      <c r="AD191" s="246"/>
      <c r="AE191" s="246"/>
      <c r="AF191" s="246"/>
      <c r="AG191" s="246"/>
      <c r="AH191" s="246"/>
      <c r="AI191" s="246"/>
      <c r="AJ191" s="246"/>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353"/>
      <c r="BL191" s="353"/>
      <c r="BM191" s="353"/>
    </row>
    <row r="192" spans="1:65" customFormat="1" ht="7.5" hidden="1" customHeight="1" thickTop="1" thickBot="1">
      <c r="A192" s="236"/>
      <c r="B192" s="353"/>
      <c r="C192" s="263"/>
      <c r="D192" s="235"/>
      <c r="E192" s="263"/>
      <c r="F192" s="235"/>
      <c r="G192" s="237"/>
      <c r="H192" s="240"/>
      <c r="I192" s="240"/>
      <c r="J192" s="240"/>
      <c r="K192" s="240"/>
      <c r="L192" s="240"/>
      <c r="M192" s="240"/>
      <c r="N192" s="240"/>
      <c r="O192" s="240"/>
      <c r="P192" s="240"/>
      <c r="Q192" s="240"/>
      <c r="R192" s="240"/>
      <c r="S192" s="240"/>
      <c r="T192" s="240"/>
      <c r="U192" s="240"/>
      <c r="V192" s="240"/>
      <c r="W192" s="240"/>
      <c r="X192" s="240"/>
      <c r="Y192" s="240"/>
      <c r="Z192" s="240"/>
      <c r="AA192" s="240"/>
      <c r="AB192" s="240"/>
      <c r="AC192" s="240"/>
      <c r="AD192" s="240"/>
      <c r="AE192" s="240"/>
      <c r="AF192" s="240"/>
      <c r="AG192" s="240"/>
      <c r="AH192" s="240"/>
      <c r="AI192" s="240"/>
      <c r="AJ192" s="240"/>
      <c r="AK192" s="13"/>
      <c r="AL192" s="13"/>
      <c r="AM192" s="13"/>
      <c r="AN192" s="13"/>
      <c r="AO192" s="13"/>
      <c r="AP192" s="13"/>
      <c r="AQ192" s="13"/>
      <c r="AR192" s="13"/>
      <c r="AS192" s="13"/>
      <c r="AT192" s="13"/>
      <c r="AU192" s="13"/>
      <c r="AV192" s="13"/>
      <c r="AW192" s="13"/>
      <c r="AX192" s="14"/>
      <c r="AY192" s="14"/>
      <c r="AZ192" s="14"/>
      <c r="BA192" s="14"/>
      <c r="BB192" s="14"/>
      <c r="BC192" s="14"/>
      <c r="BD192" s="14"/>
      <c r="BE192" s="14"/>
      <c r="BF192" s="14"/>
      <c r="BG192" s="14"/>
      <c r="BH192" s="14"/>
      <c r="BI192" s="14"/>
      <c r="BJ192" s="14"/>
    </row>
    <row r="193" spans="1:65" s="1" customFormat="1" hidden="1" thickTop="1" thickBot="1">
      <c r="A193" s="91" t="s">
        <v>4</v>
      </c>
      <c r="B193" s="353" t="s">
        <v>19</v>
      </c>
      <c r="C193" s="263" t="s">
        <v>10</v>
      </c>
      <c r="D193" s="253">
        <f>D275*$D$167</f>
      </c>
      <c r="E193" s="263" t="s">
        <v>10</v>
      </c>
      <c r="F193" s="253">
        <f>F275*$F$167</f>
      </c>
      <c r="G193" s="353"/>
      <c r="H193" s="246"/>
      <c r="I193" s="246"/>
      <c r="J193" s="246"/>
      <c r="K193" s="246"/>
      <c r="L193" s="246"/>
      <c r="M193" s="246"/>
      <c r="N193" s="246"/>
      <c r="O193" s="246"/>
      <c r="P193" s="246"/>
      <c r="Q193" s="246"/>
      <c r="R193" s="246"/>
      <c r="S193" s="246"/>
      <c r="T193" s="246"/>
      <c r="U193" s="246"/>
      <c r="V193" s="246"/>
      <c r="W193" s="246"/>
      <c r="X193" s="246"/>
      <c r="Y193" s="246"/>
      <c r="Z193" s="246"/>
      <c r="AA193" s="246"/>
      <c r="AB193" s="246"/>
      <c r="AC193" s="246"/>
      <c r="AD193" s="246"/>
      <c r="AE193" s="246"/>
      <c r="AF193" s="246"/>
      <c r="AG193" s="246"/>
      <c r="AH193" s="246"/>
      <c r="AI193" s="246"/>
      <c r="AJ193" s="246"/>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353"/>
      <c r="BL193" s="353"/>
      <c r="BM193" s="353"/>
    </row>
    <row r="194" spans="1:65" customFormat="1" ht="7.5" hidden="1" customHeight="1" thickTop="1" thickBot="1">
      <c r="A194" s="236"/>
      <c r="B194" s="353"/>
      <c r="C194" s="263"/>
      <c r="D194" s="235"/>
      <c r="E194" s="263"/>
      <c r="F194" s="235"/>
      <c r="G194" s="237"/>
      <c r="H194" s="240"/>
      <c r="I194" s="240"/>
      <c r="J194" s="240"/>
      <c r="K194" s="240"/>
      <c r="L194" s="240"/>
      <c r="M194" s="240"/>
      <c r="N194" s="240"/>
      <c r="O194" s="240"/>
      <c r="P194" s="240"/>
      <c r="Q194" s="240"/>
      <c r="R194" s="240"/>
      <c r="S194" s="240"/>
      <c r="T194" s="240"/>
      <c r="U194" s="240"/>
      <c r="V194" s="240"/>
      <c r="W194" s="240"/>
      <c r="X194" s="240"/>
      <c r="Y194" s="240"/>
      <c r="Z194" s="240"/>
      <c r="AA194" s="240"/>
      <c r="AB194" s="240"/>
      <c r="AC194" s="240"/>
      <c r="AD194" s="240"/>
      <c r="AE194" s="240"/>
      <c r="AF194" s="240"/>
      <c r="AG194" s="240"/>
      <c r="AH194" s="240"/>
      <c r="AI194" s="240"/>
      <c r="AJ194" s="240"/>
      <c r="AK194" s="13"/>
      <c r="AL194" s="13"/>
      <c r="AM194" s="13"/>
      <c r="AN194" s="13"/>
      <c r="AO194" s="13"/>
      <c r="AP194" s="13"/>
      <c r="AQ194" s="13"/>
      <c r="AR194" s="13"/>
      <c r="AS194" s="13"/>
      <c r="AT194" s="13"/>
      <c r="AU194" s="13"/>
      <c r="AV194" s="13"/>
      <c r="AW194" s="13"/>
      <c r="AX194" s="14"/>
      <c r="AY194" s="14"/>
      <c r="AZ194" s="14"/>
      <c r="BA194" s="14"/>
      <c r="BB194" s="14"/>
      <c r="BC194" s="14"/>
      <c r="BD194" s="14"/>
      <c r="BE194" s="14"/>
      <c r="BF194" s="14"/>
      <c r="BG194" s="14"/>
      <c r="BH194" s="14"/>
      <c r="BI194" s="14"/>
      <c r="BJ194" s="14"/>
    </row>
    <row r="195" spans="1:65" s="1" customFormat="1" hidden="1" thickTop="1" thickBot="1">
      <c r="A195" s="91" t="s">
        <v>4</v>
      </c>
      <c r="B195" s="353" t="s">
        <v>20</v>
      </c>
      <c r="C195" s="263" t="s">
        <v>10</v>
      </c>
      <c r="D195" s="253">
        <f>D277*$D$167</f>
      </c>
      <c r="E195" s="263" t="s">
        <v>10</v>
      </c>
      <c r="F195" s="253">
        <f>F277*$F$167</f>
      </c>
      <c r="G195" s="353"/>
      <c r="H195" s="246"/>
      <c r="I195" s="246"/>
      <c r="J195" s="246"/>
      <c r="K195" s="246"/>
      <c r="L195" s="246"/>
      <c r="M195" s="246"/>
      <c r="N195" s="246"/>
      <c r="O195" s="246"/>
      <c r="P195" s="246"/>
      <c r="Q195" s="246"/>
      <c r="R195" s="246"/>
      <c r="S195" s="246"/>
      <c r="T195" s="246"/>
      <c r="U195" s="246"/>
      <c r="V195" s="246"/>
      <c r="W195" s="246"/>
      <c r="X195" s="246"/>
      <c r="Y195" s="246"/>
      <c r="Z195" s="246"/>
      <c r="AA195" s="246"/>
      <c r="AB195" s="246"/>
      <c r="AC195" s="246"/>
      <c r="AD195" s="246"/>
      <c r="AE195" s="246"/>
      <c r="AF195" s="246"/>
      <c r="AG195" s="246"/>
      <c r="AH195" s="246"/>
      <c r="AI195" s="246"/>
      <c r="AJ195" s="246"/>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353"/>
      <c r="BL195" s="353"/>
      <c r="BM195" s="353"/>
    </row>
    <row r="196" spans="1:65" customFormat="1" ht="7.5" hidden="1" customHeight="1" thickTop="1" thickBot="1">
      <c r="A196" s="236"/>
      <c r="B196" s="353"/>
      <c r="C196" s="263"/>
      <c r="D196" s="235"/>
      <c r="E196" s="263"/>
      <c r="F196" s="235"/>
      <c r="G196" s="237"/>
      <c r="H196" s="240"/>
      <c r="I196" s="240"/>
      <c r="J196" s="240"/>
      <c r="K196" s="240"/>
      <c r="L196" s="240"/>
      <c r="M196" s="240"/>
      <c r="N196" s="240"/>
      <c r="O196" s="240"/>
      <c r="P196" s="240"/>
      <c r="Q196" s="240"/>
      <c r="R196" s="240"/>
      <c r="S196" s="240"/>
      <c r="T196" s="240"/>
      <c r="U196" s="240"/>
      <c r="V196" s="240"/>
      <c r="W196" s="240"/>
      <c r="X196" s="240"/>
      <c r="Y196" s="240"/>
      <c r="Z196" s="240"/>
      <c r="AA196" s="240"/>
      <c r="AB196" s="240"/>
      <c r="AC196" s="240"/>
      <c r="AD196" s="240"/>
      <c r="AE196" s="240"/>
      <c r="AF196" s="240"/>
      <c r="AG196" s="240"/>
      <c r="AH196" s="240"/>
      <c r="AI196" s="240"/>
      <c r="AJ196" s="240"/>
      <c r="AK196" s="13"/>
      <c r="AL196" s="13"/>
      <c r="AM196" s="13"/>
      <c r="AN196" s="13"/>
      <c r="AO196" s="13"/>
      <c r="AP196" s="13"/>
      <c r="AQ196" s="13"/>
      <c r="AR196" s="13"/>
      <c r="AS196" s="13"/>
      <c r="AT196" s="13"/>
      <c r="AU196" s="13"/>
      <c r="AV196" s="13"/>
      <c r="AW196" s="13"/>
      <c r="AX196" s="14"/>
      <c r="AY196" s="14"/>
      <c r="AZ196" s="14"/>
      <c r="BA196" s="14"/>
      <c r="BB196" s="14"/>
      <c r="BC196" s="14"/>
      <c r="BD196" s="14"/>
      <c r="BE196" s="14"/>
      <c r="BF196" s="14"/>
      <c r="BG196" s="14"/>
      <c r="BH196" s="14"/>
      <c r="BI196" s="14"/>
      <c r="BJ196" s="14"/>
    </row>
    <row r="197" spans="1:65" s="1" customFormat="1" hidden="1" thickTop="1" thickBot="1">
      <c r="A197" s="91" t="s">
        <v>4</v>
      </c>
      <c r="B197" s="353" t="s">
        <v>21</v>
      </c>
      <c r="C197" s="263" t="s">
        <v>10</v>
      </c>
      <c r="D197" s="253">
        <f>D279*$D$167</f>
      </c>
      <c r="E197" s="263" t="s">
        <v>10</v>
      </c>
      <c r="F197" s="253">
        <f>F279*$F$167</f>
      </c>
      <c r="G197" s="353"/>
      <c r="H197" s="246"/>
      <c r="I197" s="246"/>
      <c r="J197" s="246"/>
      <c r="K197" s="246"/>
      <c r="L197" s="246"/>
      <c r="M197" s="246"/>
      <c r="N197" s="246"/>
      <c r="O197" s="246"/>
      <c r="P197" s="246"/>
      <c r="Q197" s="246"/>
      <c r="R197" s="246"/>
      <c r="S197" s="246"/>
      <c r="T197" s="246"/>
      <c r="U197" s="246"/>
      <c r="V197" s="246"/>
      <c r="W197" s="246"/>
      <c r="X197" s="246"/>
      <c r="Y197" s="246"/>
      <c r="Z197" s="246"/>
      <c r="AA197" s="246"/>
      <c r="AB197" s="246"/>
      <c r="AC197" s="246"/>
      <c r="AD197" s="246"/>
      <c r="AE197" s="246"/>
      <c r="AF197" s="246"/>
      <c r="AG197" s="246"/>
      <c r="AH197" s="246"/>
      <c r="AI197" s="246"/>
      <c r="AJ197" s="246"/>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353"/>
      <c r="BL197" s="353"/>
      <c r="BM197" s="353"/>
    </row>
    <row r="198" spans="1:65" customFormat="1" hidden="1" thickTop="1" thickBot="1">
      <c r="A198" s="70"/>
      <c r="B198" s="353"/>
      <c r="C198" s="271"/>
      <c r="D198" s="235"/>
      <c r="E198" s="265"/>
      <c r="F198" s="254"/>
      <c r="G198" s="1"/>
      <c r="H198" s="240"/>
      <c r="I198" s="240"/>
      <c r="J198" s="240"/>
      <c r="K198" s="240"/>
      <c r="L198" s="240"/>
      <c r="M198" s="240"/>
      <c r="N198" s="240"/>
      <c r="O198" s="240"/>
      <c r="P198" s="240"/>
      <c r="Q198" s="240"/>
      <c r="R198" s="240"/>
      <c r="S198" s="240"/>
      <c r="T198" s="240"/>
      <c r="U198" s="240"/>
      <c r="V198" s="240"/>
      <c r="W198" s="240"/>
      <c r="X198" s="240"/>
      <c r="Y198" s="240"/>
      <c r="Z198" s="240"/>
      <c r="AA198" s="240"/>
      <c r="AB198" s="240"/>
      <c r="AC198" s="240"/>
      <c r="AD198" s="240"/>
      <c r="AE198" s="240"/>
      <c r="AF198" s="240"/>
      <c r="AG198" s="240"/>
      <c r="AH198" s="240"/>
      <c r="AI198" s="240"/>
      <c r="AJ198" s="240"/>
      <c r="AK198" s="13"/>
      <c r="AL198" s="13"/>
      <c r="AM198" s="13"/>
      <c r="AN198" s="13"/>
      <c r="AO198" s="13"/>
      <c r="AP198" s="13"/>
      <c r="AQ198" s="13"/>
      <c r="AR198" s="13"/>
      <c r="AS198" s="13"/>
      <c r="AT198" s="13"/>
      <c r="AU198" s="13"/>
      <c r="AV198" s="13"/>
      <c r="AW198" s="13"/>
      <c r="AX198" s="14"/>
      <c r="AY198" s="14"/>
      <c r="AZ198" s="14"/>
      <c r="BA198" s="14"/>
      <c r="BB198" s="14"/>
      <c r="BC198" s="14"/>
      <c r="BD198" s="14"/>
      <c r="BE198" s="14"/>
      <c r="BF198" s="14"/>
      <c r="BG198" s="14"/>
      <c r="BH198" s="14"/>
      <c r="BI198" s="14"/>
      <c r="BJ198" s="14"/>
    </row>
    <row r="199" spans="1:65" s="1" customFormat="1" hidden="1" thickTop="1" thickBot="1">
      <c r="A199" s="91" t="s">
        <v>4</v>
      </c>
      <c r="B199" s="360" t="s">
        <v>1629</v>
      </c>
      <c r="C199" s="263" t="s">
        <v>10</v>
      </c>
      <c r="D199" s="253">
        <f>D281*$D$167</f>
      </c>
      <c r="E199" s="263" t="s">
        <v>10</v>
      </c>
      <c r="F199" s="253">
        <f>F281*$F$167</f>
      </c>
      <c r="G199" s="360"/>
      <c r="H199" s="246"/>
      <c r="I199" s="246"/>
      <c r="J199" s="246"/>
      <c r="K199" s="246"/>
      <c r="L199" s="246"/>
      <c r="M199" s="246"/>
      <c r="N199" s="246"/>
      <c r="O199" s="246"/>
      <c r="P199" s="246"/>
      <c r="Q199" s="246"/>
      <c r="R199" s="246"/>
      <c r="S199" s="246"/>
      <c r="T199" s="246"/>
      <c r="U199" s="246"/>
      <c r="V199" s="246"/>
      <c r="W199" s="246"/>
      <c r="X199" s="246"/>
      <c r="Y199" s="246"/>
      <c r="Z199" s="246"/>
      <c r="AA199" s="246"/>
      <c r="AB199" s="246"/>
      <c r="AC199" s="246"/>
      <c r="AD199" s="246"/>
      <c r="AE199" s="246"/>
      <c r="AF199" s="246"/>
      <c r="AG199" s="246"/>
      <c r="AH199" s="246"/>
      <c r="AI199" s="246"/>
      <c r="AJ199" s="246"/>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360"/>
      <c r="BL199" s="360"/>
      <c r="BM199" s="360"/>
    </row>
    <row r="200" spans="1:65" customFormat="1" ht="7.5" hidden="1" customHeight="1" thickTop="1" thickBot="1">
      <c r="A200" s="236"/>
      <c r="B200" s="360"/>
      <c r="C200" s="263"/>
      <c r="D200" s="235"/>
      <c r="E200" s="263"/>
      <c r="F200" s="235"/>
      <c r="G200" s="237"/>
      <c r="H200" s="240"/>
      <c r="I200" s="240"/>
      <c r="J200" s="240"/>
      <c r="K200" s="240"/>
      <c r="L200" s="240"/>
      <c r="M200" s="240"/>
      <c r="N200" s="240"/>
      <c r="O200" s="240"/>
      <c r="P200" s="240"/>
      <c r="Q200" s="240"/>
      <c r="R200" s="240"/>
      <c r="S200" s="240"/>
      <c r="T200" s="240"/>
      <c r="U200" s="240"/>
      <c r="V200" s="240"/>
      <c r="W200" s="240"/>
      <c r="X200" s="240"/>
      <c r="Y200" s="240"/>
      <c r="Z200" s="240"/>
      <c r="AA200" s="240"/>
      <c r="AB200" s="240"/>
      <c r="AC200" s="240"/>
      <c r="AD200" s="240"/>
      <c r="AE200" s="240"/>
      <c r="AF200" s="240"/>
      <c r="AG200" s="240"/>
      <c r="AH200" s="240"/>
      <c r="AI200" s="240"/>
      <c r="AJ200" s="240"/>
      <c r="AK200" s="13"/>
      <c r="AL200" s="13"/>
      <c r="AM200" s="13"/>
      <c r="AN200" s="13"/>
      <c r="AO200" s="13"/>
      <c r="AP200" s="13"/>
      <c r="AQ200" s="13"/>
      <c r="AR200" s="13"/>
      <c r="AS200" s="13"/>
      <c r="AT200" s="13"/>
      <c r="AU200" s="13"/>
      <c r="AV200" s="13"/>
      <c r="AW200" s="13"/>
      <c r="AX200" s="14"/>
      <c r="AY200" s="14"/>
      <c r="AZ200" s="14"/>
      <c r="BA200" s="14"/>
      <c r="BB200" s="14"/>
      <c r="BC200" s="14"/>
      <c r="BD200" s="14"/>
      <c r="BE200" s="14"/>
      <c r="BF200" s="14"/>
      <c r="BG200" s="14"/>
      <c r="BH200" s="14"/>
      <c r="BI200" s="14"/>
      <c r="BJ200" s="14"/>
    </row>
    <row r="201" spans="1:65" s="1" customFormat="1" hidden="1" thickTop="1" thickBot="1">
      <c r="A201" s="91" t="s">
        <v>4</v>
      </c>
      <c r="B201" s="360" t="s">
        <v>1633</v>
      </c>
      <c r="C201" s="263" t="s">
        <v>10</v>
      </c>
      <c r="D201" s="253">
        <f>D283*$D$167</f>
      </c>
      <c r="E201" s="263" t="s">
        <v>10</v>
      </c>
      <c r="F201" s="253">
        <f>F283*$F$167</f>
      </c>
      <c r="G201" s="360"/>
      <c r="H201" s="246"/>
      <c r="I201" s="246"/>
      <c r="J201" s="246"/>
      <c r="K201" s="246"/>
      <c r="L201" s="246"/>
      <c r="M201" s="246"/>
      <c r="N201" s="246"/>
      <c r="O201" s="246"/>
      <c r="P201" s="246"/>
      <c r="Q201" s="246"/>
      <c r="R201" s="246"/>
      <c r="S201" s="246"/>
      <c r="T201" s="246"/>
      <c r="U201" s="246"/>
      <c r="V201" s="246"/>
      <c r="W201" s="246"/>
      <c r="X201" s="246"/>
      <c r="Y201" s="246"/>
      <c r="Z201" s="246"/>
      <c r="AA201" s="246"/>
      <c r="AB201" s="246"/>
      <c r="AC201" s="246"/>
      <c r="AD201" s="246"/>
      <c r="AE201" s="246"/>
      <c r="AF201" s="246"/>
      <c r="AG201" s="246"/>
      <c r="AH201" s="246"/>
      <c r="AI201" s="246"/>
      <c r="AJ201" s="246"/>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360"/>
      <c r="BL201" s="360"/>
      <c r="BM201" s="360"/>
    </row>
    <row r="202" spans="1:65" customFormat="1" ht="7.5" hidden="1" customHeight="1" thickTop="1" thickBot="1">
      <c r="A202" s="236"/>
      <c r="B202" s="360"/>
      <c r="C202" s="263"/>
      <c r="D202" s="235"/>
      <c r="E202" s="263"/>
      <c r="F202" s="235"/>
      <c r="G202" s="237"/>
      <c r="H202" s="240"/>
      <c r="I202" s="240"/>
      <c r="J202" s="240"/>
      <c r="K202" s="240"/>
      <c r="L202" s="240"/>
      <c r="M202" s="240"/>
      <c r="N202" s="240"/>
      <c r="O202" s="240"/>
      <c r="P202" s="240"/>
      <c r="Q202" s="240"/>
      <c r="R202" s="240"/>
      <c r="S202" s="240"/>
      <c r="T202" s="240"/>
      <c r="U202" s="240"/>
      <c r="V202" s="240"/>
      <c r="W202" s="240"/>
      <c r="X202" s="240"/>
      <c r="Y202" s="240"/>
      <c r="Z202" s="240"/>
      <c r="AA202" s="240"/>
      <c r="AB202" s="240"/>
      <c r="AC202" s="240"/>
      <c r="AD202" s="240"/>
      <c r="AE202" s="240"/>
      <c r="AF202" s="240"/>
      <c r="AG202" s="240"/>
      <c r="AH202" s="240"/>
      <c r="AI202" s="240"/>
      <c r="AJ202" s="240"/>
      <c r="AK202" s="13"/>
      <c r="AL202" s="13"/>
      <c r="AM202" s="13"/>
      <c r="AN202" s="13"/>
      <c r="AO202" s="13"/>
      <c r="AP202" s="13"/>
      <c r="AQ202" s="13"/>
      <c r="AR202" s="13"/>
      <c r="AS202" s="13"/>
      <c r="AT202" s="13"/>
      <c r="AU202" s="13"/>
      <c r="AV202" s="13"/>
      <c r="AW202" s="13"/>
      <c r="AX202" s="14"/>
      <c r="AY202" s="14"/>
      <c r="AZ202" s="14"/>
      <c r="BA202" s="14"/>
      <c r="BB202" s="14"/>
      <c r="BC202" s="14"/>
      <c r="BD202" s="14"/>
      <c r="BE202" s="14"/>
      <c r="BF202" s="14"/>
      <c r="BG202" s="14"/>
      <c r="BH202" s="14"/>
      <c r="BI202" s="14"/>
      <c r="BJ202" s="14"/>
    </row>
    <row r="203" spans="1:65" s="1" customFormat="1" hidden="1" thickTop="1" thickBot="1">
      <c r="A203" s="91" t="s">
        <v>4</v>
      </c>
      <c r="B203" s="360" t="s">
        <v>1637</v>
      </c>
      <c r="C203" s="263" t="s">
        <v>10</v>
      </c>
      <c r="D203" s="253">
        <f>D285*$D$167</f>
      </c>
      <c r="E203" s="263" t="s">
        <v>10</v>
      </c>
      <c r="F203" s="253">
        <f>F285*$F$167</f>
      </c>
      <c r="G203" s="360"/>
      <c r="H203" s="246"/>
      <c r="I203" s="246"/>
      <c r="J203" s="246"/>
      <c r="K203" s="246"/>
      <c r="L203" s="246"/>
      <c r="M203" s="246"/>
      <c r="N203" s="246"/>
      <c r="O203" s="246"/>
      <c r="P203" s="246"/>
      <c r="Q203" s="246"/>
      <c r="R203" s="246"/>
      <c r="S203" s="246"/>
      <c r="T203" s="246"/>
      <c r="U203" s="246"/>
      <c r="V203" s="246"/>
      <c r="W203" s="246"/>
      <c r="X203" s="246"/>
      <c r="Y203" s="246"/>
      <c r="Z203" s="246"/>
      <c r="AA203" s="246"/>
      <c r="AB203" s="246"/>
      <c r="AC203" s="246"/>
      <c r="AD203" s="246"/>
      <c r="AE203" s="246"/>
      <c r="AF203" s="246"/>
      <c r="AG203" s="246"/>
      <c r="AH203" s="246"/>
      <c r="AI203" s="246"/>
      <c r="AJ203" s="246"/>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360"/>
      <c r="BL203" s="360"/>
      <c r="BM203" s="360"/>
    </row>
    <row r="204" spans="1:65" customFormat="1" ht="7.5" hidden="1" customHeight="1" thickTop="1" thickBot="1">
      <c r="A204" s="236"/>
      <c r="B204" s="360"/>
      <c r="C204" s="263"/>
      <c r="D204" s="235"/>
      <c r="E204" s="263"/>
      <c r="F204" s="235"/>
      <c r="G204" s="237"/>
      <c r="H204" s="240"/>
      <c r="I204" s="240"/>
      <c r="J204" s="240"/>
      <c r="K204" s="240"/>
      <c r="L204" s="240"/>
      <c r="M204" s="240"/>
      <c r="N204" s="240"/>
      <c r="O204" s="240"/>
      <c r="P204" s="240"/>
      <c r="Q204" s="240"/>
      <c r="R204" s="240"/>
      <c r="S204" s="240"/>
      <c r="T204" s="240"/>
      <c r="U204" s="240"/>
      <c r="V204" s="240"/>
      <c r="W204" s="240"/>
      <c r="X204" s="240"/>
      <c r="Y204" s="240"/>
      <c r="Z204" s="240"/>
      <c r="AA204" s="240"/>
      <c r="AB204" s="240"/>
      <c r="AC204" s="240"/>
      <c r="AD204" s="240"/>
      <c r="AE204" s="240"/>
      <c r="AF204" s="240"/>
      <c r="AG204" s="240"/>
      <c r="AH204" s="240"/>
      <c r="AI204" s="240"/>
      <c r="AJ204" s="240"/>
      <c r="AK204" s="13"/>
      <c r="AL204" s="13"/>
      <c r="AM204" s="13"/>
      <c r="AN204" s="13"/>
      <c r="AO204" s="13"/>
      <c r="AP204" s="13"/>
      <c r="AQ204" s="13"/>
      <c r="AR204" s="13"/>
      <c r="AS204" s="13"/>
      <c r="AT204" s="13"/>
      <c r="AU204" s="13"/>
      <c r="AV204" s="13"/>
      <c r="AW204" s="13"/>
      <c r="AX204" s="14"/>
      <c r="AY204" s="14"/>
      <c r="AZ204" s="14"/>
      <c r="BA204" s="14"/>
      <c r="BB204" s="14"/>
      <c r="BC204" s="14"/>
      <c r="BD204" s="14"/>
      <c r="BE204" s="14"/>
      <c r="BF204" s="14"/>
      <c r="BG204" s="14"/>
      <c r="BH204" s="14"/>
      <c r="BI204" s="14"/>
      <c r="BJ204" s="14"/>
    </row>
    <row r="205" spans="1:65" s="1" customFormat="1" hidden="1" thickTop="1" thickBot="1">
      <c r="A205" s="91" t="s">
        <v>4</v>
      </c>
      <c r="B205" s="360" t="s">
        <v>1641</v>
      </c>
      <c r="C205" s="263" t="s">
        <v>10</v>
      </c>
      <c r="D205" s="253">
        <f>D287*$D$167</f>
      </c>
      <c r="E205" s="263" t="s">
        <v>10</v>
      </c>
      <c r="F205" s="253">
        <f>F287*$F$167</f>
      </c>
      <c r="G205" s="360"/>
      <c r="H205" s="246"/>
      <c r="I205" s="246"/>
      <c r="J205" s="246"/>
      <c r="K205" s="246"/>
      <c r="L205" s="246"/>
      <c r="M205" s="246"/>
      <c r="N205" s="246"/>
      <c r="O205" s="246"/>
      <c r="P205" s="246"/>
      <c r="Q205" s="246"/>
      <c r="R205" s="246"/>
      <c r="S205" s="246"/>
      <c r="T205" s="246"/>
      <c r="U205" s="246"/>
      <c r="V205" s="246"/>
      <c r="W205" s="246"/>
      <c r="X205" s="246"/>
      <c r="Y205" s="246"/>
      <c r="Z205" s="246"/>
      <c r="AA205" s="246"/>
      <c r="AB205" s="246"/>
      <c r="AC205" s="246"/>
      <c r="AD205" s="246"/>
      <c r="AE205" s="246"/>
      <c r="AF205" s="246"/>
      <c r="AG205" s="246"/>
      <c r="AH205" s="246"/>
      <c r="AI205" s="246"/>
      <c r="AJ205" s="246"/>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360"/>
      <c r="BL205" s="360"/>
      <c r="BM205" s="360"/>
    </row>
    <row r="206" spans="1:65" customFormat="1" ht="7.5" hidden="1" customHeight="1" thickTop="1" thickBot="1">
      <c r="A206" s="236"/>
      <c r="B206" s="360"/>
      <c r="C206" s="263"/>
      <c r="D206" s="235"/>
      <c r="E206" s="263"/>
      <c r="F206" s="235"/>
      <c r="G206" s="237"/>
      <c r="H206" s="240"/>
      <c r="I206" s="240"/>
      <c r="J206" s="240"/>
      <c r="K206" s="240"/>
      <c r="L206" s="240"/>
      <c r="M206" s="240"/>
      <c r="N206" s="240"/>
      <c r="O206" s="240"/>
      <c r="P206" s="240"/>
      <c r="Q206" s="240"/>
      <c r="R206" s="240"/>
      <c r="S206" s="240"/>
      <c r="T206" s="240"/>
      <c r="U206" s="240"/>
      <c r="V206" s="240"/>
      <c r="W206" s="240"/>
      <c r="X206" s="240"/>
      <c r="Y206" s="240"/>
      <c r="Z206" s="240"/>
      <c r="AA206" s="240"/>
      <c r="AB206" s="240"/>
      <c r="AC206" s="240"/>
      <c r="AD206" s="240"/>
      <c r="AE206" s="240"/>
      <c r="AF206" s="240"/>
      <c r="AG206" s="240"/>
      <c r="AH206" s="240"/>
      <c r="AI206" s="240"/>
      <c r="AJ206" s="240"/>
      <c r="AK206" s="13"/>
      <c r="AL206" s="13"/>
      <c r="AM206" s="13"/>
      <c r="AN206" s="13"/>
      <c r="AO206" s="13"/>
      <c r="AP206" s="13"/>
      <c r="AQ206" s="13"/>
      <c r="AR206" s="13"/>
      <c r="AS206" s="13"/>
      <c r="AT206" s="13"/>
      <c r="AU206" s="13"/>
      <c r="AV206" s="13"/>
      <c r="AW206" s="13"/>
      <c r="AX206" s="14"/>
      <c r="AY206" s="14"/>
      <c r="AZ206" s="14"/>
      <c r="BA206" s="14"/>
      <c r="BB206" s="14"/>
      <c r="BC206" s="14"/>
      <c r="BD206" s="14"/>
      <c r="BE206" s="14"/>
      <c r="BF206" s="14"/>
      <c r="BG206" s="14"/>
      <c r="BH206" s="14"/>
      <c r="BI206" s="14"/>
      <c r="BJ206" s="14"/>
    </row>
    <row r="207" spans="1:65" s="1" customFormat="1" hidden="1" thickTop="1" thickBot="1">
      <c r="A207" s="91" t="s">
        <v>4</v>
      </c>
      <c r="B207" s="360" t="s">
        <v>1645</v>
      </c>
      <c r="C207" s="263" t="s">
        <v>10</v>
      </c>
      <c r="D207" s="253">
        <f>D289*$D$167</f>
      </c>
      <c r="E207" s="263" t="s">
        <v>10</v>
      </c>
      <c r="F207" s="253">
        <f>F289*$F$167</f>
      </c>
      <c r="G207" s="360"/>
      <c r="H207" s="246"/>
      <c r="I207" s="246"/>
      <c r="J207" s="246"/>
      <c r="K207" s="246"/>
      <c r="L207" s="246"/>
      <c r="M207" s="246"/>
      <c r="N207" s="246"/>
      <c r="O207" s="246"/>
      <c r="P207" s="246"/>
      <c r="Q207" s="246"/>
      <c r="R207" s="246"/>
      <c r="S207" s="246"/>
      <c r="T207" s="246"/>
      <c r="U207" s="246"/>
      <c r="V207" s="246"/>
      <c r="W207" s="246"/>
      <c r="X207" s="246"/>
      <c r="Y207" s="246"/>
      <c r="Z207" s="246"/>
      <c r="AA207" s="246"/>
      <c r="AB207" s="246"/>
      <c r="AC207" s="246"/>
      <c r="AD207" s="246"/>
      <c r="AE207" s="246"/>
      <c r="AF207" s="246"/>
      <c r="AG207" s="246"/>
      <c r="AH207" s="246"/>
      <c r="AI207" s="246"/>
      <c r="AJ207" s="246"/>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360"/>
      <c r="BL207" s="360"/>
      <c r="BM207" s="360"/>
    </row>
    <row r="208" spans="1:65" customFormat="1" ht="7.5" hidden="1" customHeight="1" thickTop="1" thickBot="1">
      <c r="A208" s="236"/>
      <c r="B208" s="360"/>
      <c r="C208" s="263"/>
      <c r="D208" s="235"/>
      <c r="E208" s="263"/>
      <c r="F208" s="235"/>
      <c r="G208" s="237"/>
      <c r="H208" s="240"/>
      <c r="I208" s="240"/>
      <c r="J208" s="240"/>
      <c r="K208" s="240"/>
      <c r="L208" s="240"/>
      <c r="M208" s="240"/>
      <c r="N208" s="240"/>
      <c r="O208" s="240"/>
      <c r="P208" s="240"/>
      <c r="Q208" s="240"/>
      <c r="R208" s="240"/>
      <c r="S208" s="240"/>
      <c r="T208" s="240"/>
      <c r="U208" s="240"/>
      <c r="V208" s="240"/>
      <c r="W208" s="240"/>
      <c r="X208" s="240"/>
      <c r="Y208" s="240"/>
      <c r="Z208" s="240"/>
      <c r="AA208" s="240"/>
      <c r="AB208" s="240"/>
      <c r="AC208" s="240"/>
      <c r="AD208" s="240"/>
      <c r="AE208" s="240"/>
      <c r="AF208" s="240"/>
      <c r="AG208" s="240"/>
      <c r="AH208" s="240"/>
      <c r="AI208" s="240"/>
      <c r="AJ208" s="240"/>
      <c r="AK208" s="13"/>
      <c r="AL208" s="13"/>
      <c r="AM208" s="13"/>
      <c r="AN208" s="13"/>
      <c r="AO208" s="13"/>
      <c r="AP208" s="13"/>
      <c r="AQ208" s="13"/>
      <c r="AR208" s="13"/>
      <c r="AS208" s="13"/>
      <c r="AT208" s="13"/>
      <c r="AU208" s="13"/>
      <c r="AV208" s="13"/>
      <c r="AW208" s="13"/>
      <c r="AX208" s="14"/>
      <c r="AY208" s="14"/>
      <c r="AZ208" s="14"/>
      <c r="BA208" s="14"/>
      <c r="BB208" s="14"/>
      <c r="BC208" s="14"/>
      <c r="BD208" s="14"/>
      <c r="BE208" s="14"/>
      <c r="BF208" s="14"/>
      <c r="BG208" s="14"/>
      <c r="BH208" s="14"/>
      <c r="BI208" s="14"/>
      <c r="BJ208" s="14"/>
    </row>
    <row r="209" spans="1:65" s="1" customFormat="1" hidden="1" thickTop="1" thickBot="1">
      <c r="A209" s="91" t="s">
        <v>4</v>
      </c>
      <c r="B209" s="360" t="s">
        <v>1649</v>
      </c>
      <c r="C209" s="263" t="s">
        <v>10</v>
      </c>
      <c r="D209" s="253">
        <f>D291*$D$167</f>
      </c>
      <c r="E209" s="263" t="s">
        <v>10</v>
      </c>
      <c r="F209" s="253">
        <f>F291*$F$167</f>
      </c>
      <c r="G209" s="360"/>
      <c r="H209" s="246"/>
      <c r="I209" s="246"/>
      <c r="J209" s="246"/>
      <c r="K209" s="246"/>
      <c r="L209" s="246"/>
      <c r="M209" s="246"/>
      <c r="N209" s="246"/>
      <c r="O209" s="246"/>
      <c r="P209" s="246"/>
      <c r="Q209" s="246"/>
      <c r="R209" s="246"/>
      <c r="S209" s="246"/>
      <c r="T209" s="246"/>
      <c r="U209" s="246"/>
      <c r="V209" s="246"/>
      <c r="W209" s="246"/>
      <c r="X209" s="246"/>
      <c r="Y209" s="246"/>
      <c r="Z209" s="246"/>
      <c r="AA209" s="246"/>
      <c r="AB209" s="246"/>
      <c r="AC209" s="246"/>
      <c r="AD209" s="246"/>
      <c r="AE209" s="246"/>
      <c r="AF209" s="246"/>
      <c r="AG209" s="246"/>
      <c r="AH209" s="246"/>
      <c r="AI209" s="246"/>
      <c r="AJ209" s="246"/>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360"/>
      <c r="BL209" s="360"/>
      <c r="BM209" s="360"/>
    </row>
    <row r="210" spans="1:65" customFormat="1" ht="7.5" hidden="1" customHeight="1" thickTop="1" thickBot="1">
      <c r="A210" s="236"/>
      <c r="B210" s="360"/>
      <c r="C210" s="263"/>
      <c r="D210" s="235"/>
      <c r="E210" s="263"/>
      <c r="F210" s="235"/>
      <c r="G210" s="237"/>
      <c r="H210" s="240"/>
      <c r="I210" s="240"/>
      <c r="J210" s="240"/>
      <c r="K210" s="240"/>
      <c r="L210" s="240"/>
      <c r="M210" s="240"/>
      <c r="N210" s="240"/>
      <c r="O210" s="240"/>
      <c r="P210" s="240"/>
      <c r="Q210" s="240"/>
      <c r="R210" s="240"/>
      <c r="S210" s="240"/>
      <c r="T210" s="240"/>
      <c r="U210" s="240"/>
      <c r="V210" s="240"/>
      <c r="W210" s="240"/>
      <c r="X210" s="240"/>
      <c r="Y210" s="240"/>
      <c r="Z210" s="240"/>
      <c r="AA210" s="240"/>
      <c r="AB210" s="240"/>
      <c r="AC210" s="240"/>
      <c r="AD210" s="240"/>
      <c r="AE210" s="240"/>
      <c r="AF210" s="240"/>
      <c r="AG210" s="240"/>
      <c r="AH210" s="240"/>
      <c r="AI210" s="240"/>
      <c r="AJ210" s="240"/>
      <c r="AK210" s="13"/>
      <c r="AL210" s="13"/>
      <c r="AM210" s="13"/>
      <c r="AN210" s="13"/>
      <c r="AO210" s="13"/>
      <c r="AP210" s="13"/>
      <c r="AQ210" s="13"/>
      <c r="AR210" s="13"/>
      <c r="AS210" s="13"/>
      <c r="AT210" s="13"/>
      <c r="AU210" s="13"/>
      <c r="AV210" s="13"/>
      <c r="AW210" s="13"/>
      <c r="AX210" s="14"/>
      <c r="AY210" s="14"/>
      <c r="AZ210" s="14"/>
      <c r="BA210" s="14"/>
      <c r="BB210" s="14"/>
      <c r="BC210" s="14"/>
      <c r="BD210" s="14"/>
      <c r="BE210" s="14"/>
      <c r="BF210" s="14"/>
      <c r="BG210" s="14"/>
      <c r="BH210" s="14"/>
      <c r="BI210" s="14"/>
      <c r="BJ210" s="14"/>
    </row>
    <row r="211" spans="1:65" s="1" customFormat="1" hidden="1" thickTop="1" thickBot="1">
      <c r="A211" s="91" t="s">
        <v>4</v>
      </c>
      <c r="B211" s="360" t="s">
        <v>1653</v>
      </c>
      <c r="C211" s="263" t="s">
        <v>10</v>
      </c>
      <c r="D211" s="253">
        <f>D293*$D$167</f>
      </c>
      <c r="E211" s="263" t="s">
        <v>10</v>
      </c>
      <c r="F211" s="253">
        <f>F293*$F$167</f>
      </c>
      <c r="G211" s="360"/>
      <c r="H211" s="246"/>
      <c r="I211" s="246"/>
      <c r="J211" s="246"/>
      <c r="K211" s="246"/>
      <c r="L211" s="246"/>
      <c r="M211" s="246"/>
      <c r="N211" s="246"/>
      <c r="O211" s="246"/>
      <c r="P211" s="246"/>
      <c r="Q211" s="246"/>
      <c r="R211" s="246"/>
      <c r="S211" s="246"/>
      <c r="T211" s="246"/>
      <c r="U211" s="246"/>
      <c r="V211" s="246"/>
      <c r="W211" s="246"/>
      <c r="X211" s="246"/>
      <c r="Y211" s="246"/>
      <c r="Z211" s="246"/>
      <c r="AA211" s="246"/>
      <c r="AB211" s="246"/>
      <c r="AC211" s="246"/>
      <c r="AD211" s="246"/>
      <c r="AE211" s="246"/>
      <c r="AF211" s="246"/>
      <c r="AG211" s="246"/>
      <c r="AH211" s="246"/>
      <c r="AI211" s="246"/>
      <c r="AJ211" s="246"/>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360"/>
      <c r="BL211" s="360"/>
      <c r="BM211" s="360"/>
    </row>
    <row r="212" spans="1:65" customFormat="1" ht="7.5" hidden="1" customHeight="1" thickTop="1" thickBot="1">
      <c r="A212" s="236"/>
      <c r="B212" s="360"/>
      <c r="C212" s="263"/>
      <c r="D212" s="235"/>
      <c r="E212" s="263"/>
      <c r="F212" s="235"/>
      <c r="G212" s="237"/>
      <c r="H212" s="240"/>
      <c r="I212" s="240"/>
      <c r="J212" s="240"/>
      <c r="K212" s="240"/>
      <c r="L212" s="240"/>
      <c r="M212" s="240"/>
      <c r="N212" s="240"/>
      <c r="O212" s="240"/>
      <c r="P212" s="240"/>
      <c r="Q212" s="240"/>
      <c r="R212" s="240"/>
      <c r="S212" s="240"/>
      <c r="T212" s="240"/>
      <c r="U212" s="240"/>
      <c r="V212" s="240"/>
      <c r="W212" s="240"/>
      <c r="X212" s="240"/>
      <c r="Y212" s="240"/>
      <c r="Z212" s="240"/>
      <c r="AA212" s="240"/>
      <c r="AB212" s="240"/>
      <c r="AC212" s="240"/>
      <c r="AD212" s="240"/>
      <c r="AE212" s="240"/>
      <c r="AF212" s="240"/>
      <c r="AG212" s="240"/>
      <c r="AH212" s="240"/>
      <c r="AI212" s="240"/>
      <c r="AJ212" s="240"/>
      <c r="AK212" s="13"/>
      <c r="AL212" s="13"/>
      <c r="AM212" s="13"/>
      <c r="AN212" s="13"/>
      <c r="AO212" s="13"/>
      <c r="AP212" s="13"/>
      <c r="AQ212" s="13"/>
      <c r="AR212" s="13"/>
      <c r="AS212" s="13"/>
      <c r="AT212" s="13"/>
      <c r="AU212" s="13"/>
      <c r="AV212" s="13"/>
      <c r="AW212" s="13"/>
      <c r="AX212" s="14"/>
      <c r="AY212" s="14"/>
      <c r="AZ212" s="14"/>
      <c r="BA212" s="14"/>
      <c r="BB212" s="14"/>
      <c r="BC212" s="14"/>
      <c r="BD212" s="14"/>
      <c r="BE212" s="14"/>
      <c r="BF212" s="14"/>
      <c r="BG212" s="14"/>
      <c r="BH212" s="14"/>
      <c r="BI212" s="14"/>
      <c r="BJ212" s="14"/>
    </row>
    <row r="213" spans="1:65" s="1" customFormat="1" hidden="1" thickTop="1" thickBot="1">
      <c r="A213" s="91" t="s">
        <v>4</v>
      </c>
      <c r="B213" s="360" t="s">
        <v>1657</v>
      </c>
      <c r="C213" s="263" t="s">
        <v>10</v>
      </c>
      <c r="D213" s="253">
        <f>D295*$D$167</f>
      </c>
      <c r="E213" s="263" t="s">
        <v>10</v>
      </c>
      <c r="F213" s="253">
        <f>F295*$F$167</f>
      </c>
      <c r="G213" s="360"/>
      <c r="H213" s="246"/>
      <c r="I213" s="246"/>
      <c r="J213" s="246"/>
      <c r="K213" s="246"/>
      <c r="L213" s="246"/>
      <c r="M213" s="246"/>
      <c r="N213" s="246"/>
      <c r="O213" s="246"/>
      <c r="P213" s="246"/>
      <c r="Q213" s="246"/>
      <c r="R213" s="246"/>
      <c r="S213" s="246"/>
      <c r="T213" s="246"/>
      <c r="U213" s="246"/>
      <c r="V213" s="246"/>
      <c r="W213" s="246"/>
      <c r="X213" s="246"/>
      <c r="Y213" s="246"/>
      <c r="Z213" s="246"/>
      <c r="AA213" s="246"/>
      <c r="AB213" s="246"/>
      <c r="AC213" s="246"/>
      <c r="AD213" s="246"/>
      <c r="AE213" s="246"/>
      <c r="AF213" s="246"/>
      <c r="AG213" s="246"/>
      <c r="AH213" s="246"/>
      <c r="AI213" s="246"/>
      <c r="AJ213" s="246"/>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360"/>
      <c r="BL213" s="360"/>
      <c r="BM213" s="360"/>
    </row>
    <row r="214" spans="1:65" customFormat="1" ht="7.5" hidden="1" customHeight="1" thickTop="1" thickBot="1">
      <c r="A214" s="236"/>
      <c r="B214" s="360"/>
      <c r="C214" s="263"/>
      <c r="D214" s="235"/>
      <c r="E214" s="263"/>
      <c r="F214" s="235"/>
      <c r="G214" s="237"/>
      <c r="H214" s="240"/>
      <c r="I214" s="240"/>
      <c r="J214" s="240"/>
      <c r="K214" s="240"/>
      <c r="L214" s="240"/>
      <c r="M214" s="240"/>
      <c r="N214" s="240"/>
      <c r="O214" s="240"/>
      <c r="P214" s="240"/>
      <c r="Q214" s="240"/>
      <c r="R214" s="240"/>
      <c r="S214" s="240"/>
      <c r="T214" s="240"/>
      <c r="U214" s="240"/>
      <c r="V214" s="240"/>
      <c r="W214" s="240"/>
      <c r="X214" s="240"/>
      <c r="Y214" s="240"/>
      <c r="Z214" s="240"/>
      <c r="AA214" s="240"/>
      <c r="AB214" s="240"/>
      <c r="AC214" s="240"/>
      <c r="AD214" s="240"/>
      <c r="AE214" s="240"/>
      <c r="AF214" s="240"/>
      <c r="AG214" s="240"/>
      <c r="AH214" s="240"/>
      <c r="AI214" s="240"/>
      <c r="AJ214" s="240"/>
      <c r="AK214" s="13"/>
      <c r="AL214" s="13"/>
      <c r="AM214" s="13"/>
      <c r="AN214" s="13"/>
      <c r="AO214" s="13"/>
      <c r="AP214" s="13"/>
      <c r="AQ214" s="13"/>
      <c r="AR214" s="13"/>
      <c r="AS214" s="13"/>
      <c r="AT214" s="13"/>
      <c r="AU214" s="13"/>
      <c r="AV214" s="13"/>
      <c r="AW214" s="13"/>
      <c r="AX214" s="14"/>
      <c r="AY214" s="14"/>
      <c r="AZ214" s="14"/>
      <c r="BA214" s="14"/>
      <c r="BB214" s="14"/>
      <c r="BC214" s="14"/>
      <c r="BD214" s="14"/>
      <c r="BE214" s="14"/>
      <c r="BF214" s="14"/>
      <c r="BG214" s="14"/>
      <c r="BH214" s="14"/>
      <c r="BI214" s="14"/>
      <c r="BJ214" s="14"/>
    </row>
    <row r="215" spans="1:65" s="1" customFormat="1" hidden="1" thickTop="1" thickBot="1">
      <c r="A215" s="91" t="s">
        <v>4</v>
      </c>
      <c r="B215" s="360" t="s">
        <v>1661</v>
      </c>
      <c r="C215" s="263" t="s">
        <v>10</v>
      </c>
      <c r="D215" s="253">
        <f>D297*$D$167</f>
      </c>
      <c r="E215" s="263" t="s">
        <v>10</v>
      </c>
      <c r="F215" s="253">
        <f>F297*$F$167</f>
      </c>
      <c r="G215" s="360"/>
      <c r="H215" s="246"/>
      <c r="I215" s="246"/>
      <c r="J215" s="246"/>
      <c r="K215" s="246"/>
      <c r="L215" s="246"/>
      <c r="M215" s="246"/>
      <c r="N215" s="246"/>
      <c r="O215" s="246"/>
      <c r="P215" s="246"/>
      <c r="Q215" s="246"/>
      <c r="R215" s="246"/>
      <c r="S215" s="246"/>
      <c r="T215" s="246"/>
      <c r="U215" s="246"/>
      <c r="V215" s="246"/>
      <c r="W215" s="246"/>
      <c r="X215" s="246"/>
      <c r="Y215" s="246"/>
      <c r="Z215" s="246"/>
      <c r="AA215" s="246"/>
      <c r="AB215" s="246"/>
      <c r="AC215" s="246"/>
      <c r="AD215" s="246"/>
      <c r="AE215" s="246"/>
      <c r="AF215" s="246"/>
      <c r="AG215" s="246"/>
      <c r="AH215" s="246"/>
      <c r="AI215" s="246"/>
      <c r="AJ215" s="246"/>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360"/>
      <c r="BL215" s="360"/>
      <c r="BM215" s="360"/>
    </row>
    <row r="216" spans="1:65" customFormat="1" ht="7.5" hidden="1" customHeight="1" thickTop="1" thickBot="1">
      <c r="A216" s="236"/>
      <c r="B216" s="360"/>
      <c r="C216" s="263"/>
      <c r="D216" s="235"/>
      <c r="E216" s="263"/>
      <c r="F216" s="235"/>
      <c r="G216" s="237"/>
      <c r="H216" s="240"/>
      <c r="I216" s="240"/>
      <c r="J216" s="240"/>
      <c r="K216" s="240"/>
      <c r="L216" s="240"/>
      <c r="M216" s="240"/>
      <c r="N216" s="240"/>
      <c r="O216" s="240"/>
      <c r="P216" s="240"/>
      <c r="Q216" s="240"/>
      <c r="R216" s="240"/>
      <c r="S216" s="240"/>
      <c r="T216" s="240"/>
      <c r="U216" s="240"/>
      <c r="V216" s="240"/>
      <c r="W216" s="240"/>
      <c r="X216" s="240"/>
      <c r="Y216" s="240"/>
      <c r="Z216" s="240"/>
      <c r="AA216" s="240"/>
      <c r="AB216" s="240"/>
      <c r="AC216" s="240"/>
      <c r="AD216" s="240"/>
      <c r="AE216" s="240"/>
      <c r="AF216" s="240"/>
      <c r="AG216" s="240"/>
      <c r="AH216" s="240"/>
      <c r="AI216" s="240"/>
      <c r="AJ216" s="240"/>
      <c r="AK216" s="13"/>
      <c r="AL216" s="13"/>
      <c r="AM216" s="13"/>
      <c r="AN216" s="13"/>
      <c r="AO216" s="13"/>
      <c r="AP216" s="13"/>
      <c r="AQ216" s="13"/>
      <c r="AR216" s="13"/>
      <c r="AS216" s="13"/>
      <c r="AT216" s="13"/>
      <c r="AU216" s="13"/>
      <c r="AV216" s="13"/>
      <c r="AW216" s="13"/>
      <c r="AX216" s="14"/>
      <c r="AY216" s="14"/>
      <c r="AZ216" s="14"/>
      <c r="BA216" s="14"/>
      <c r="BB216" s="14"/>
      <c r="BC216" s="14"/>
      <c r="BD216" s="14"/>
      <c r="BE216" s="14"/>
      <c r="BF216" s="14"/>
      <c r="BG216" s="14"/>
      <c r="BH216" s="14"/>
      <c r="BI216" s="14"/>
      <c r="BJ216" s="14"/>
    </row>
    <row r="217" spans="1:65" s="1" customFormat="1" hidden="1" thickTop="1" thickBot="1">
      <c r="A217" s="91" t="s">
        <v>4</v>
      </c>
      <c r="B217" s="360" t="s">
        <v>1665</v>
      </c>
      <c r="C217" s="263" t="s">
        <v>10</v>
      </c>
      <c r="D217" s="253">
        <f>D299*$D$167</f>
      </c>
      <c r="E217" s="263" t="s">
        <v>10</v>
      </c>
      <c r="F217" s="253">
        <f>F299*$F$167</f>
      </c>
      <c r="G217" s="360"/>
      <c r="H217" s="246"/>
      <c r="I217" s="246"/>
      <c r="J217" s="246"/>
      <c r="K217" s="246"/>
      <c r="L217" s="246"/>
      <c r="M217" s="246"/>
      <c r="N217" s="246"/>
      <c r="O217" s="246"/>
      <c r="P217" s="246"/>
      <c r="Q217" s="246"/>
      <c r="R217" s="246"/>
      <c r="S217" s="246"/>
      <c r="T217" s="246"/>
      <c r="U217" s="246"/>
      <c r="V217" s="246"/>
      <c r="W217" s="246"/>
      <c r="X217" s="246"/>
      <c r="Y217" s="246"/>
      <c r="Z217" s="246"/>
      <c r="AA217" s="246"/>
      <c r="AB217" s="246"/>
      <c r="AC217" s="246"/>
      <c r="AD217" s="246"/>
      <c r="AE217" s="246"/>
      <c r="AF217" s="246"/>
      <c r="AG217" s="246"/>
      <c r="AH217" s="246"/>
      <c r="AI217" s="246"/>
      <c r="AJ217" s="246"/>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360"/>
      <c r="BL217" s="360"/>
      <c r="BM217" s="360"/>
    </row>
    <row r="218" spans="1:65" customFormat="1" ht="7.5" hidden="1" customHeight="1" thickTop="1" thickBot="1">
      <c r="A218" s="236"/>
      <c r="B218" s="360"/>
      <c r="C218" s="263"/>
      <c r="D218" s="235"/>
      <c r="E218" s="263"/>
      <c r="F218" s="235"/>
      <c r="G218" s="237"/>
      <c r="H218" s="240"/>
      <c r="I218" s="240"/>
      <c r="J218" s="240"/>
      <c r="K218" s="240"/>
      <c r="L218" s="240"/>
      <c r="M218" s="240"/>
      <c r="N218" s="240"/>
      <c r="O218" s="240"/>
      <c r="P218" s="240"/>
      <c r="Q218" s="240"/>
      <c r="R218" s="240"/>
      <c r="S218" s="240"/>
      <c r="T218" s="240"/>
      <c r="U218" s="240"/>
      <c r="V218" s="240"/>
      <c r="W218" s="240"/>
      <c r="X218" s="240"/>
      <c r="Y218" s="240"/>
      <c r="Z218" s="240"/>
      <c r="AA218" s="240"/>
      <c r="AB218" s="240"/>
      <c r="AC218" s="240"/>
      <c r="AD218" s="240"/>
      <c r="AE218" s="240"/>
      <c r="AF218" s="240"/>
      <c r="AG218" s="240"/>
      <c r="AH218" s="240"/>
      <c r="AI218" s="240"/>
      <c r="AJ218" s="240"/>
      <c r="AK218" s="13"/>
      <c r="AL218" s="13"/>
      <c r="AM218" s="13"/>
      <c r="AN218" s="13"/>
      <c r="AO218" s="13"/>
      <c r="AP218" s="13"/>
      <c r="AQ218" s="13"/>
      <c r="AR218" s="13"/>
      <c r="AS218" s="13"/>
      <c r="AT218" s="13"/>
      <c r="AU218" s="13"/>
      <c r="AV218" s="13"/>
      <c r="AW218" s="13"/>
      <c r="AX218" s="14"/>
      <c r="AY218" s="14"/>
      <c r="AZ218" s="14"/>
      <c r="BA218" s="14"/>
      <c r="BB218" s="14"/>
      <c r="BC218" s="14"/>
      <c r="BD218" s="14"/>
      <c r="BE218" s="14"/>
      <c r="BF218" s="14"/>
      <c r="BG218" s="14"/>
      <c r="BH218" s="14"/>
      <c r="BI218" s="14"/>
      <c r="BJ218" s="14"/>
    </row>
    <row r="219" spans="1:65" s="1" customFormat="1" hidden="1" thickTop="1" thickBot="1">
      <c r="A219" s="91" t="s">
        <v>4</v>
      </c>
      <c r="B219" s="360" t="s">
        <v>1669</v>
      </c>
      <c r="C219" s="263" t="s">
        <v>10</v>
      </c>
      <c r="D219" s="253">
        <f>D301*$D$167</f>
      </c>
      <c r="E219" s="263" t="s">
        <v>10</v>
      </c>
      <c r="F219" s="253">
        <f>F301*$F$167</f>
      </c>
      <c r="G219" s="360"/>
      <c r="H219" s="246"/>
      <c r="I219" s="246"/>
      <c r="J219" s="246"/>
      <c r="K219" s="246"/>
      <c r="L219" s="246"/>
      <c r="M219" s="246"/>
      <c r="N219" s="246"/>
      <c r="O219" s="246"/>
      <c r="P219" s="246"/>
      <c r="Q219" s="246"/>
      <c r="R219" s="246"/>
      <c r="S219" s="246"/>
      <c r="T219" s="246"/>
      <c r="U219" s="246"/>
      <c r="V219" s="246"/>
      <c r="W219" s="246"/>
      <c r="X219" s="246"/>
      <c r="Y219" s="246"/>
      <c r="Z219" s="246"/>
      <c r="AA219" s="246"/>
      <c r="AB219" s="246"/>
      <c r="AC219" s="246"/>
      <c r="AD219" s="246"/>
      <c r="AE219" s="246"/>
      <c r="AF219" s="246"/>
      <c r="AG219" s="246"/>
      <c r="AH219" s="246"/>
      <c r="AI219" s="246"/>
      <c r="AJ219" s="246"/>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360"/>
      <c r="BL219" s="360"/>
      <c r="BM219" s="360"/>
    </row>
    <row r="220" spans="1:65" customFormat="1" ht="7.5" hidden="1" customHeight="1" thickTop="1" thickBot="1">
      <c r="A220" s="236"/>
      <c r="B220" s="360"/>
      <c r="C220" s="263"/>
      <c r="D220" s="235"/>
      <c r="E220" s="263"/>
      <c r="F220" s="235"/>
      <c r="G220" s="237"/>
      <c r="H220" s="240"/>
      <c r="I220" s="240"/>
      <c r="J220" s="240"/>
      <c r="K220" s="240"/>
      <c r="L220" s="240"/>
      <c r="M220" s="240"/>
      <c r="N220" s="240"/>
      <c r="O220" s="240"/>
      <c r="P220" s="240"/>
      <c r="Q220" s="240"/>
      <c r="R220" s="240"/>
      <c r="S220" s="240"/>
      <c r="T220" s="240"/>
      <c r="U220" s="240"/>
      <c r="V220" s="240"/>
      <c r="W220" s="240"/>
      <c r="X220" s="240"/>
      <c r="Y220" s="240"/>
      <c r="Z220" s="240"/>
      <c r="AA220" s="240"/>
      <c r="AB220" s="240"/>
      <c r="AC220" s="240"/>
      <c r="AD220" s="240"/>
      <c r="AE220" s="240"/>
      <c r="AF220" s="240"/>
      <c r="AG220" s="240"/>
      <c r="AH220" s="240"/>
      <c r="AI220" s="240"/>
      <c r="AJ220" s="240"/>
      <c r="AK220" s="13"/>
      <c r="AL220" s="13"/>
      <c r="AM220" s="13"/>
      <c r="AN220" s="13"/>
      <c r="AO220" s="13"/>
      <c r="AP220" s="13"/>
      <c r="AQ220" s="13"/>
      <c r="AR220" s="13"/>
      <c r="AS220" s="13"/>
      <c r="AT220" s="13"/>
      <c r="AU220" s="13"/>
      <c r="AV220" s="13"/>
      <c r="AW220" s="13"/>
      <c r="AX220" s="14"/>
      <c r="AY220" s="14"/>
      <c r="AZ220" s="14"/>
      <c r="BA220" s="14"/>
      <c r="BB220" s="14"/>
      <c r="BC220" s="14"/>
      <c r="BD220" s="14"/>
      <c r="BE220" s="14"/>
      <c r="BF220" s="14"/>
      <c r="BG220" s="14"/>
      <c r="BH220" s="14"/>
      <c r="BI220" s="14"/>
      <c r="BJ220" s="14"/>
    </row>
    <row r="221" spans="1:65" s="1" customFormat="1" hidden="1" thickTop="1" thickBot="1">
      <c r="A221" s="91" t="s">
        <v>4</v>
      </c>
      <c r="B221" s="360" t="s">
        <v>1673</v>
      </c>
      <c r="C221" s="263" t="s">
        <v>10</v>
      </c>
      <c r="D221" s="253">
        <f>D303*$D$167</f>
      </c>
      <c r="E221" s="263" t="s">
        <v>10</v>
      </c>
      <c r="F221" s="253">
        <f>F303*$F$167</f>
      </c>
      <c r="G221" s="360"/>
      <c r="H221" s="246"/>
      <c r="I221" s="246"/>
      <c r="J221" s="246"/>
      <c r="K221" s="246"/>
      <c r="L221" s="246"/>
      <c r="M221" s="246"/>
      <c r="N221" s="246"/>
      <c r="O221" s="246"/>
      <c r="P221" s="246"/>
      <c r="Q221" s="246"/>
      <c r="R221" s="246"/>
      <c r="S221" s="246"/>
      <c r="T221" s="246"/>
      <c r="U221" s="246"/>
      <c r="V221" s="246"/>
      <c r="W221" s="246"/>
      <c r="X221" s="246"/>
      <c r="Y221" s="246"/>
      <c r="Z221" s="246"/>
      <c r="AA221" s="246"/>
      <c r="AB221" s="246"/>
      <c r="AC221" s="246"/>
      <c r="AD221" s="246"/>
      <c r="AE221" s="246"/>
      <c r="AF221" s="246"/>
      <c r="AG221" s="246"/>
      <c r="AH221" s="246"/>
      <c r="AI221" s="246"/>
      <c r="AJ221" s="246"/>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360"/>
      <c r="BL221" s="360"/>
      <c r="BM221" s="360"/>
    </row>
    <row r="222" spans="1:65" customFormat="1" hidden="1" thickTop="1" thickBot="1">
      <c r="A222" s="70"/>
      <c r="B222" s="360"/>
      <c r="C222" s="271"/>
      <c r="D222" s="235"/>
      <c r="E222" s="265"/>
      <c r="F222" s="254"/>
      <c r="G222" s="1"/>
      <c r="H222" s="240"/>
      <c r="I222" s="240"/>
      <c r="J222" s="240"/>
      <c r="K222" s="240"/>
      <c r="L222" s="240"/>
      <c r="M222" s="240"/>
      <c r="N222" s="240"/>
      <c r="O222" s="240"/>
      <c r="P222" s="240"/>
      <c r="Q222" s="240"/>
      <c r="R222" s="240"/>
      <c r="S222" s="240"/>
      <c r="T222" s="240"/>
      <c r="U222" s="240"/>
      <c r="V222" s="240"/>
      <c r="W222" s="240"/>
      <c r="X222" s="240"/>
      <c r="Y222" s="240"/>
      <c r="Z222" s="240"/>
      <c r="AA222" s="240"/>
      <c r="AB222" s="240"/>
      <c r="AC222" s="240"/>
      <c r="AD222" s="240"/>
      <c r="AE222" s="240"/>
      <c r="AF222" s="240"/>
      <c r="AG222" s="240"/>
      <c r="AH222" s="240"/>
      <c r="AI222" s="240"/>
      <c r="AJ222" s="240"/>
      <c r="AK222" s="13"/>
      <c r="AL222" s="13"/>
      <c r="AM222" s="13"/>
      <c r="AN222" s="13"/>
      <c r="AO222" s="13"/>
      <c r="AP222" s="13"/>
      <c r="AQ222" s="13"/>
      <c r="AR222" s="13"/>
      <c r="AS222" s="13"/>
      <c r="AT222" s="13"/>
      <c r="AU222" s="13"/>
      <c r="AV222" s="13"/>
      <c r="AW222" s="13"/>
      <c r="AX222" s="14"/>
      <c r="AY222" s="14"/>
      <c r="AZ222" s="14"/>
      <c r="BA222" s="14"/>
      <c r="BB222" s="14"/>
      <c r="BC222" s="14"/>
      <c r="BD222" s="14"/>
      <c r="BE222" s="14"/>
      <c r="BF222" s="14"/>
      <c r="BG222" s="14"/>
      <c r="BH222" s="14"/>
      <c r="BI222" s="14"/>
      <c r="BJ222" s="14"/>
    </row>
    <row r="223" spans="1:65" s="1" customFormat="1" hidden="1" thickTop="1" thickBot="1">
      <c r="A223" s="91" t="s">
        <v>4</v>
      </c>
      <c r="B223" s="360" t="s">
        <v>1677</v>
      </c>
      <c r="C223" s="263" t="s">
        <v>10</v>
      </c>
      <c r="D223" s="253">
        <f>D305*$D$167</f>
      </c>
      <c r="E223" s="263" t="s">
        <v>10</v>
      </c>
      <c r="F223" s="253">
        <f>F305*$F$167</f>
      </c>
      <c r="G223" s="360"/>
      <c r="H223" s="246"/>
      <c r="I223" s="246"/>
      <c r="J223" s="246"/>
      <c r="K223" s="246"/>
      <c r="L223" s="246"/>
      <c r="M223" s="246"/>
      <c r="N223" s="246"/>
      <c r="O223" s="246"/>
      <c r="P223" s="246"/>
      <c r="Q223" s="246"/>
      <c r="R223" s="246"/>
      <c r="S223" s="246"/>
      <c r="T223" s="246"/>
      <c r="U223" s="246"/>
      <c r="V223" s="246"/>
      <c r="W223" s="246"/>
      <c r="X223" s="246"/>
      <c r="Y223" s="246"/>
      <c r="Z223" s="246"/>
      <c r="AA223" s="246"/>
      <c r="AB223" s="246"/>
      <c r="AC223" s="246"/>
      <c r="AD223" s="246"/>
      <c r="AE223" s="246"/>
      <c r="AF223" s="246"/>
      <c r="AG223" s="246"/>
      <c r="AH223" s="246"/>
      <c r="AI223" s="246"/>
      <c r="AJ223" s="246"/>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360"/>
      <c r="BL223" s="360"/>
      <c r="BM223" s="360"/>
    </row>
    <row r="224" spans="1:65" customFormat="1" ht="7.5" hidden="1" customHeight="1" thickTop="1" thickBot="1">
      <c r="A224" s="236"/>
      <c r="B224" s="360"/>
      <c r="C224" s="263"/>
      <c r="D224" s="235"/>
      <c r="E224" s="263"/>
      <c r="F224" s="235"/>
      <c r="G224" s="237"/>
      <c r="H224" s="240"/>
      <c r="I224" s="240"/>
      <c r="J224" s="240"/>
      <c r="K224" s="240"/>
      <c r="L224" s="240"/>
      <c r="M224" s="240"/>
      <c r="N224" s="240"/>
      <c r="O224" s="240"/>
      <c r="P224" s="240"/>
      <c r="Q224" s="240"/>
      <c r="R224" s="240"/>
      <c r="S224" s="240"/>
      <c r="T224" s="240"/>
      <c r="U224" s="240"/>
      <c r="V224" s="240"/>
      <c r="W224" s="240"/>
      <c r="X224" s="240"/>
      <c r="Y224" s="240"/>
      <c r="Z224" s="240"/>
      <c r="AA224" s="240"/>
      <c r="AB224" s="240"/>
      <c r="AC224" s="240"/>
      <c r="AD224" s="240"/>
      <c r="AE224" s="240"/>
      <c r="AF224" s="240"/>
      <c r="AG224" s="240"/>
      <c r="AH224" s="240"/>
      <c r="AI224" s="240"/>
      <c r="AJ224" s="240"/>
      <c r="AK224" s="13"/>
      <c r="AL224" s="13"/>
      <c r="AM224" s="13"/>
      <c r="AN224" s="13"/>
      <c r="AO224" s="13"/>
      <c r="AP224" s="13"/>
      <c r="AQ224" s="13"/>
      <c r="AR224" s="13"/>
      <c r="AS224" s="13"/>
      <c r="AT224" s="13"/>
      <c r="AU224" s="13"/>
      <c r="AV224" s="13"/>
      <c r="AW224" s="13"/>
      <c r="AX224" s="14"/>
      <c r="AY224" s="14"/>
      <c r="AZ224" s="14"/>
      <c r="BA224" s="14"/>
      <c r="BB224" s="14"/>
      <c r="BC224" s="14"/>
      <c r="BD224" s="14"/>
      <c r="BE224" s="14"/>
      <c r="BF224" s="14"/>
      <c r="BG224" s="14"/>
      <c r="BH224" s="14"/>
      <c r="BI224" s="14"/>
      <c r="BJ224" s="14"/>
    </row>
    <row r="225" spans="1:65" s="1" customFormat="1" hidden="1" thickTop="1" thickBot="1">
      <c r="A225" s="91" t="s">
        <v>4</v>
      </c>
      <c r="B225" s="360" t="s">
        <v>1681</v>
      </c>
      <c r="C225" s="263" t="s">
        <v>10</v>
      </c>
      <c r="D225" s="253">
        <f>D307*$D$167</f>
      </c>
      <c r="E225" s="263" t="s">
        <v>10</v>
      </c>
      <c r="F225" s="253">
        <f>F307*$F$167</f>
      </c>
      <c r="G225" s="360"/>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c r="AE225" s="246"/>
      <c r="AF225" s="246"/>
      <c r="AG225" s="246"/>
      <c r="AH225" s="246"/>
      <c r="AI225" s="246"/>
      <c r="AJ225" s="246"/>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360"/>
      <c r="BL225" s="360"/>
      <c r="BM225" s="360"/>
    </row>
    <row r="226" spans="1:65" customFormat="1" ht="7.5" hidden="1" customHeight="1" thickTop="1" thickBot="1">
      <c r="A226" s="236"/>
      <c r="B226" s="360"/>
      <c r="C226" s="263"/>
      <c r="D226" s="235"/>
      <c r="E226" s="263"/>
      <c r="F226" s="235"/>
      <c r="G226" s="237"/>
      <c r="H226" s="240"/>
      <c r="I226" s="240"/>
      <c r="J226" s="240"/>
      <c r="K226" s="240"/>
      <c r="L226" s="240"/>
      <c r="M226" s="240"/>
      <c r="N226" s="240"/>
      <c r="O226" s="240"/>
      <c r="P226" s="240"/>
      <c r="Q226" s="240"/>
      <c r="R226" s="240"/>
      <c r="S226" s="240"/>
      <c r="T226" s="240"/>
      <c r="U226" s="240"/>
      <c r="V226" s="240"/>
      <c r="W226" s="240"/>
      <c r="X226" s="240"/>
      <c r="Y226" s="240"/>
      <c r="Z226" s="240"/>
      <c r="AA226" s="240"/>
      <c r="AB226" s="240"/>
      <c r="AC226" s="240"/>
      <c r="AD226" s="240"/>
      <c r="AE226" s="240"/>
      <c r="AF226" s="240"/>
      <c r="AG226" s="240"/>
      <c r="AH226" s="240"/>
      <c r="AI226" s="240"/>
      <c r="AJ226" s="240"/>
      <c r="AK226" s="13"/>
      <c r="AL226" s="13"/>
      <c r="AM226" s="13"/>
      <c r="AN226" s="13"/>
      <c r="AO226" s="13"/>
      <c r="AP226" s="13"/>
      <c r="AQ226" s="13"/>
      <c r="AR226" s="13"/>
      <c r="AS226" s="13"/>
      <c r="AT226" s="13"/>
      <c r="AU226" s="13"/>
      <c r="AV226" s="13"/>
      <c r="AW226" s="13"/>
      <c r="AX226" s="14"/>
      <c r="AY226" s="14"/>
      <c r="AZ226" s="14"/>
      <c r="BA226" s="14"/>
      <c r="BB226" s="14"/>
      <c r="BC226" s="14"/>
      <c r="BD226" s="14"/>
      <c r="BE226" s="14"/>
      <c r="BF226" s="14"/>
      <c r="BG226" s="14"/>
      <c r="BH226" s="14"/>
      <c r="BI226" s="14"/>
      <c r="BJ226" s="14"/>
    </row>
    <row r="227" spans="1:65" s="1" customFormat="1" hidden="1" thickTop="1" thickBot="1">
      <c r="A227" s="91" t="s">
        <v>4</v>
      </c>
      <c r="B227" s="360" t="s">
        <v>1685</v>
      </c>
      <c r="C227" s="263" t="s">
        <v>10</v>
      </c>
      <c r="D227" s="253">
        <f>D309*$D$167</f>
      </c>
      <c r="E227" s="263" t="s">
        <v>10</v>
      </c>
      <c r="F227" s="253">
        <f>F309*$F$167</f>
      </c>
      <c r="G227" s="360"/>
      <c r="H227" s="246"/>
      <c r="I227" s="246"/>
      <c r="J227" s="246"/>
      <c r="K227" s="246"/>
      <c r="L227" s="246"/>
      <c r="M227" s="246"/>
      <c r="N227" s="246"/>
      <c r="O227" s="246"/>
      <c r="P227" s="246"/>
      <c r="Q227" s="246"/>
      <c r="R227" s="246"/>
      <c r="S227" s="246"/>
      <c r="T227" s="246"/>
      <c r="U227" s="246"/>
      <c r="V227" s="246"/>
      <c r="W227" s="246"/>
      <c r="X227" s="246"/>
      <c r="Y227" s="246"/>
      <c r="Z227" s="246"/>
      <c r="AA227" s="246"/>
      <c r="AB227" s="246"/>
      <c r="AC227" s="246"/>
      <c r="AD227" s="246"/>
      <c r="AE227" s="246"/>
      <c r="AF227" s="246"/>
      <c r="AG227" s="246"/>
      <c r="AH227" s="246"/>
      <c r="AI227" s="246"/>
      <c r="AJ227" s="246"/>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360"/>
      <c r="BL227" s="360"/>
      <c r="BM227" s="360"/>
    </row>
    <row r="228" spans="1:65" customFormat="1" ht="7.5" hidden="1" customHeight="1" thickTop="1" thickBot="1">
      <c r="A228" s="236"/>
      <c r="B228" s="360"/>
      <c r="C228" s="263"/>
      <c r="D228" s="235"/>
      <c r="E228" s="263"/>
      <c r="F228" s="235"/>
      <c r="G228" s="237"/>
      <c r="H228" s="240"/>
      <c r="I228" s="240"/>
      <c r="J228" s="240"/>
      <c r="K228" s="240"/>
      <c r="L228" s="240"/>
      <c r="M228" s="240"/>
      <c r="N228" s="240"/>
      <c r="O228" s="240"/>
      <c r="P228" s="240"/>
      <c r="Q228" s="240"/>
      <c r="R228" s="240"/>
      <c r="S228" s="240"/>
      <c r="T228" s="240"/>
      <c r="U228" s="240"/>
      <c r="V228" s="240"/>
      <c r="W228" s="240"/>
      <c r="X228" s="240"/>
      <c r="Y228" s="240"/>
      <c r="Z228" s="240"/>
      <c r="AA228" s="240"/>
      <c r="AB228" s="240"/>
      <c r="AC228" s="240"/>
      <c r="AD228" s="240"/>
      <c r="AE228" s="240"/>
      <c r="AF228" s="240"/>
      <c r="AG228" s="240"/>
      <c r="AH228" s="240"/>
      <c r="AI228" s="240"/>
      <c r="AJ228" s="240"/>
      <c r="AK228" s="13"/>
      <c r="AL228" s="13"/>
      <c r="AM228" s="13"/>
      <c r="AN228" s="13"/>
      <c r="AO228" s="13"/>
      <c r="AP228" s="13"/>
      <c r="AQ228" s="13"/>
      <c r="AR228" s="13"/>
      <c r="AS228" s="13"/>
      <c r="AT228" s="13"/>
      <c r="AU228" s="13"/>
      <c r="AV228" s="13"/>
      <c r="AW228" s="13"/>
      <c r="AX228" s="14"/>
      <c r="AY228" s="14"/>
      <c r="AZ228" s="14"/>
      <c r="BA228" s="14"/>
      <c r="BB228" s="14"/>
      <c r="BC228" s="14"/>
      <c r="BD228" s="14"/>
      <c r="BE228" s="14"/>
      <c r="BF228" s="14"/>
      <c r="BG228" s="14"/>
      <c r="BH228" s="14"/>
      <c r="BI228" s="14"/>
      <c r="BJ228" s="14"/>
    </row>
    <row r="229" spans="1:65" s="1" customFormat="1" hidden="1" thickTop="1" thickBot="1">
      <c r="A229" s="91" t="s">
        <v>4</v>
      </c>
      <c r="B229" s="360" t="s">
        <v>1689</v>
      </c>
      <c r="C229" s="263" t="s">
        <v>10</v>
      </c>
      <c r="D229" s="253">
        <f>D311*$D$167</f>
      </c>
      <c r="E229" s="263" t="s">
        <v>10</v>
      </c>
      <c r="F229" s="253">
        <f>F311*$F$167</f>
      </c>
      <c r="G229" s="360"/>
      <c r="H229" s="246"/>
      <c r="I229" s="246"/>
      <c r="J229" s="246"/>
      <c r="K229" s="246"/>
      <c r="L229" s="246"/>
      <c r="M229" s="246"/>
      <c r="N229" s="246"/>
      <c r="O229" s="246"/>
      <c r="P229" s="246"/>
      <c r="Q229" s="246"/>
      <c r="R229" s="246"/>
      <c r="S229" s="246"/>
      <c r="T229" s="246"/>
      <c r="U229" s="246"/>
      <c r="V229" s="246"/>
      <c r="W229" s="246"/>
      <c r="X229" s="246"/>
      <c r="Y229" s="246"/>
      <c r="Z229" s="246"/>
      <c r="AA229" s="246"/>
      <c r="AB229" s="246"/>
      <c r="AC229" s="246"/>
      <c r="AD229" s="246"/>
      <c r="AE229" s="246"/>
      <c r="AF229" s="246"/>
      <c r="AG229" s="246"/>
      <c r="AH229" s="246"/>
      <c r="AI229" s="246"/>
      <c r="AJ229" s="246"/>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360"/>
      <c r="BL229" s="360"/>
      <c r="BM229" s="360"/>
    </row>
    <row r="230" spans="1:65" customFormat="1" ht="7.5" hidden="1" customHeight="1" thickTop="1" thickBot="1">
      <c r="A230" s="236"/>
      <c r="B230" s="360"/>
      <c r="C230" s="263"/>
      <c r="D230" s="235"/>
      <c r="E230" s="263"/>
      <c r="F230" s="235"/>
      <c r="G230" s="237"/>
      <c r="H230" s="240"/>
      <c r="I230" s="240"/>
      <c r="J230" s="240"/>
      <c r="K230" s="240"/>
      <c r="L230" s="240"/>
      <c r="M230" s="240"/>
      <c r="N230" s="240"/>
      <c r="O230" s="240"/>
      <c r="P230" s="240"/>
      <c r="Q230" s="240"/>
      <c r="R230" s="240"/>
      <c r="S230" s="240"/>
      <c r="T230" s="240"/>
      <c r="U230" s="240"/>
      <c r="V230" s="240"/>
      <c r="W230" s="240"/>
      <c r="X230" s="240"/>
      <c r="Y230" s="240"/>
      <c r="Z230" s="240"/>
      <c r="AA230" s="240"/>
      <c r="AB230" s="240"/>
      <c r="AC230" s="240"/>
      <c r="AD230" s="240"/>
      <c r="AE230" s="240"/>
      <c r="AF230" s="240"/>
      <c r="AG230" s="240"/>
      <c r="AH230" s="240"/>
      <c r="AI230" s="240"/>
      <c r="AJ230" s="240"/>
      <c r="AK230" s="13"/>
      <c r="AL230" s="13"/>
      <c r="AM230" s="13"/>
      <c r="AN230" s="13"/>
      <c r="AO230" s="13"/>
      <c r="AP230" s="13"/>
      <c r="AQ230" s="13"/>
      <c r="AR230" s="13"/>
      <c r="AS230" s="13"/>
      <c r="AT230" s="13"/>
      <c r="AU230" s="13"/>
      <c r="AV230" s="13"/>
      <c r="AW230" s="13"/>
      <c r="AX230" s="14"/>
      <c r="AY230" s="14"/>
      <c r="AZ230" s="14"/>
      <c r="BA230" s="14"/>
      <c r="BB230" s="14"/>
      <c r="BC230" s="14"/>
      <c r="BD230" s="14"/>
      <c r="BE230" s="14"/>
      <c r="BF230" s="14"/>
      <c r="BG230" s="14"/>
      <c r="BH230" s="14"/>
      <c r="BI230" s="14"/>
      <c r="BJ230" s="14"/>
    </row>
    <row r="231" spans="1:65" s="1" customFormat="1" hidden="1" thickTop="1" thickBot="1">
      <c r="A231" s="91" t="s">
        <v>4</v>
      </c>
      <c r="B231" s="360" t="s">
        <v>1693</v>
      </c>
      <c r="C231" s="263" t="s">
        <v>10</v>
      </c>
      <c r="D231" s="253">
        <f>D313*$D$167</f>
      </c>
      <c r="E231" s="263" t="s">
        <v>10</v>
      </c>
      <c r="F231" s="253">
        <f>F313*$F$167</f>
      </c>
      <c r="G231" s="360"/>
      <c r="H231" s="246"/>
      <c r="I231" s="246"/>
      <c r="J231" s="246"/>
      <c r="K231" s="246"/>
      <c r="L231" s="246"/>
      <c r="M231" s="246"/>
      <c r="N231" s="246"/>
      <c r="O231" s="246"/>
      <c r="P231" s="246"/>
      <c r="Q231" s="246"/>
      <c r="R231" s="246"/>
      <c r="S231" s="246"/>
      <c r="T231" s="246"/>
      <c r="U231" s="246"/>
      <c r="V231" s="246"/>
      <c r="W231" s="246"/>
      <c r="X231" s="246"/>
      <c r="Y231" s="246"/>
      <c r="Z231" s="246"/>
      <c r="AA231" s="246"/>
      <c r="AB231" s="246"/>
      <c r="AC231" s="246"/>
      <c r="AD231" s="246"/>
      <c r="AE231" s="246"/>
      <c r="AF231" s="246"/>
      <c r="AG231" s="246"/>
      <c r="AH231" s="246"/>
      <c r="AI231" s="246"/>
      <c r="AJ231" s="246"/>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360"/>
      <c r="BL231" s="360"/>
      <c r="BM231" s="360"/>
    </row>
    <row r="232" spans="1:65" customFormat="1" ht="7.5" hidden="1" customHeight="1" thickTop="1" thickBot="1">
      <c r="A232" s="236"/>
      <c r="B232" s="360"/>
      <c r="C232" s="263"/>
      <c r="D232" s="235"/>
      <c r="E232" s="263"/>
      <c r="F232" s="235"/>
      <c r="G232" s="237"/>
      <c r="H232" s="240"/>
      <c r="I232" s="240"/>
      <c r="J232" s="240"/>
      <c r="K232" s="240"/>
      <c r="L232" s="240"/>
      <c r="M232" s="240"/>
      <c r="N232" s="240"/>
      <c r="O232" s="240"/>
      <c r="P232" s="240"/>
      <c r="Q232" s="240"/>
      <c r="R232" s="240"/>
      <c r="S232" s="240"/>
      <c r="T232" s="240"/>
      <c r="U232" s="240"/>
      <c r="V232" s="240"/>
      <c r="W232" s="240"/>
      <c r="X232" s="240"/>
      <c r="Y232" s="240"/>
      <c r="Z232" s="240"/>
      <c r="AA232" s="240"/>
      <c r="AB232" s="240"/>
      <c r="AC232" s="240"/>
      <c r="AD232" s="240"/>
      <c r="AE232" s="240"/>
      <c r="AF232" s="240"/>
      <c r="AG232" s="240"/>
      <c r="AH232" s="240"/>
      <c r="AI232" s="240"/>
      <c r="AJ232" s="240"/>
      <c r="AK232" s="13"/>
      <c r="AL232" s="13"/>
      <c r="AM232" s="13"/>
      <c r="AN232" s="13"/>
      <c r="AO232" s="13"/>
      <c r="AP232" s="13"/>
      <c r="AQ232" s="13"/>
      <c r="AR232" s="13"/>
      <c r="AS232" s="13"/>
      <c r="AT232" s="13"/>
      <c r="AU232" s="13"/>
      <c r="AV232" s="13"/>
      <c r="AW232" s="13"/>
      <c r="AX232" s="14"/>
      <c r="AY232" s="14"/>
      <c r="AZ232" s="14"/>
      <c r="BA232" s="14"/>
      <c r="BB232" s="14"/>
      <c r="BC232" s="14"/>
      <c r="BD232" s="14"/>
      <c r="BE232" s="14"/>
      <c r="BF232" s="14"/>
      <c r="BG232" s="14"/>
      <c r="BH232" s="14"/>
      <c r="BI232" s="14"/>
      <c r="BJ232" s="14"/>
    </row>
    <row r="233" spans="1:65" s="1" customFormat="1" hidden="1" thickTop="1" thickBot="1">
      <c r="A233" s="91" t="s">
        <v>4</v>
      </c>
      <c r="B233" s="360" t="s">
        <v>1697</v>
      </c>
      <c r="C233" s="263" t="s">
        <v>10</v>
      </c>
      <c r="D233" s="253">
        <f>D315*$D$167</f>
      </c>
      <c r="E233" s="263" t="s">
        <v>10</v>
      </c>
      <c r="F233" s="253">
        <f>F315*$F$167</f>
      </c>
      <c r="G233" s="360"/>
      <c r="H233" s="246"/>
      <c r="I233" s="246"/>
      <c r="J233" s="246"/>
      <c r="K233" s="246"/>
      <c r="L233" s="246"/>
      <c r="M233" s="246"/>
      <c r="N233" s="246"/>
      <c r="O233" s="246"/>
      <c r="P233" s="246"/>
      <c r="Q233" s="246"/>
      <c r="R233" s="246"/>
      <c r="S233" s="246"/>
      <c r="T233" s="246"/>
      <c r="U233" s="246"/>
      <c r="V233" s="246"/>
      <c r="W233" s="246"/>
      <c r="X233" s="246"/>
      <c r="Y233" s="246"/>
      <c r="Z233" s="246"/>
      <c r="AA233" s="246"/>
      <c r="AB233" s="246"/>
      <c r="AC233" s="246"/>
      <c r="AD233" s="246"/>
      <c r="AE233" s="246"/>
      <c r="AF233" s="246"/>
      <c r="AG233" s="246"/>
      <c r="AH233" s="246"/>
      <c r="AI233" s="246"/>
      <c r="AJ233" s="246"/>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360"/>
      <c r="BL233" s="360"/>
      <c r="BM233" s="360"/>
    </row>
    <row r="234" spans="1:65" customFormat="1" ht="7.5" hidden="1" customHeight="1" thickTop="1" thickBot="1">
      <c r="A234" s="236"/>
      <c r="B234" s="360"/>
      <c r="C234" s="263"/>
      <c r="D234" s="235"/>
      <c r="E234" s="263"/>
      <c r="F234" s="235"/>
      <c r="G234" s="237"/>
      <c r="H234" s="240"/>
      <c r="I234" s="240"/>
      <c r="J234" s="240"/>
      <c r="K234" s="240"/>
      <c r="L234" s="240"/>
      <c r="M234" s="240"/>
      <c r="N234" s="240"/>
      <c r="O234" s="240"/>
      <c r="P234" s="240"/>
      <c r="Q234" s="240"/>
      <c r="R234" s="240"/>
      <c r="S234" s="240"/>
      <c r="T234" s="240"/>
      <c r="U234" s="240"/>
      <c r="V234" s="240"/>
      <c r="W234" s="240"/>
      <c r="X234" s="240"/>
      <c r="Y234" s="240"/>
      <c r="Z234" s="240"/>
      <c r="AA234" s="240"/>
      <c r="AB234" s="240"/>
      <c r="AC234" s="240"/>
      <c r="AD234" s="240"/>
      <c r="AE234" s="240"/>
      <c r="AF234" s="240"/>
      <c r="AG234" s="240"/>
      <c r="AH234" s="240"/>
      <c r="AI234" s="240"/>
      <c r="AJ234" s="240"/>
      <c r="AK234" s="13"/>
      <c r="AL234" s="13"/>
      <c r="AM234" s="13"/>
      <c r="AN234" s="13"/>
      <c r="AO234" s="13"/>
      <c r="AP234" s="13"/>
      <c r="AQ234" s="13"/>
      <c r="AR234" s="13"/>
      <c r="AS234" s="13"/>
      <c r="AT234" s="13"/>
      <c r="AU234" s="13"/>
      <c r="AV234" s="13"/>
      <c r="AW234" s="13"/>
      <c r="AX234" s="14"/>
      <c r="AY234" s="14"/>
      <c r="AZ234" s="14"/>
      <c r="BA234" s="14"/>
      <c r="BB234" s="14"/>
      <c r="BC234" s="14"/>
      <c r="BD234" s="14"/>
      <c r="BE234" s="14"/>
      <c r="BF234" s="14"/>
      <c r="BG234" s="14"/>
      <c r="BH234" s="14"/>
      <c r="BI234" s="14"/>
      <c r="BJ234" s="14"/>
    </row>
    <row r="235" spans="1:65" s="1" customFormat="1" hidden="1" thickTop="1" thickBot="1">
      <c r="A235" s="91" t="s">
        <v>4</v>
      </c>
      <c r="B235" s="360" t="s">
        <v>1701</v>
      </c>
      <c r="C235" s="263" t="s">
        <v>10</v>
      </c>
      <c r="D235" s="253">
        <f>D317*$D$167</f>
      </c>
      <c r="E235" s="263" t="s">
        <v>10</v>
      </c>
      <c r="F235" s="253">
        <f>F317*$F$167</f>
      </c>
      <c r="G235" s="360"/>
      <c r="H235" s="246"/>
      <c r="I235" s="246"/>
      <c r="J235" s="246"/>
      <c r="K235" s="246"/>
      <c r="L235" s="246"/>
      <c r="M235" s="246"/>
      <c r="N235" s="246"/>
      <c r="O235" s="246"/>
      <c r="P235" s="246"/>
      <c r="Q235" s="246"/>
      <c r="R235" s="246"/>
      <c r="S235" s="246"/>
      <c r="T235" s="246"/>
      <c r="U235" s="246"/>
      <c r="V235" s="246"/>
      <c r="W235" s="246"/>
      <c r="X235" s="246"/>
      <c r="Y235" s="246"/>
      <c r="Z235" s="246"/>
      <c r="AA235" s="246"/>
      <c r="AB235" s="246"/>
      <c r="AC235" s="246"/>
      <c r="AD235" s="246"/>
      <c r="AE235" s="246"/>
      <c r="AF235" s="246"/>
      <c r="AG235" s="246"/>
      <c r="AH235" s="246"/>
      <c r="AI235" s="246"/>
      <c r="AJ235" s="246"/>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360"/>
      <c r="BL235" s="360"/>
      <c r="BM235" s="360"/>
    </row>
    <row r="236" spans="1:65" customFormat="1" ht="7.5" hidden="1" customHeight="1" thickTop="1" thickBot="1">
      <c r="A236" s="236"/>
      <c r="B236" s="360"/>
      <c r="C236" s="263"/>
      <c r="D236" s="235"/>
      <c r="E236" s="263"/>
      <c r="F236" s="235"/>
      <c r="G236" s="237"/>
      <c r="H236" s="240"/>
      <c r="I236" s="240"/>
      <c r="J236" s="240"/>
      <c r="K236" s="240"/>
      <c r="L236" s="240"/>
      <c r="M236" s="240"/>
      <c r="N236" s="240"/>
      <c r="O236" s="240"/>
      <c r="P236" s="240"/>
      <c r="Q236" s="240"/>
      <c r="R236" s="240"/>
      <c r="S236" s="240"/>
      <c r="T236" s="240"/>
      <c r="U236" s="240"/>
      <c r="V236" s="240"/>
      <c r="W236" s="240"/>
      <c r="X236" s="240"/>
      <c r="Y236" s="240"/>
      <c r="Z236" s="240"/>
      <c r="AA236" s="240"/>
      <c r="AB236" s="240"/>
      <c r="AC236" s="240"/>
      <c r="AD236" s="240"/>
      <c r="AE236" s="240"/>
      <c r="AF236" s="240"/>
      <c r="AG236" s="240"/>
      <c r="AH236" s="240"/>
      <c r="AI236" s="240"/>
      <c r="AJ236" s="240"/>
      <c r="AK236" s="13"/>
      <c r="AL236" s="13"/>
      <c r="AM236" s="13"/>
      <c r="AN236" s="13"/>
      <c r="AO236" s="13"/>
      <c r="AP236" s="13"/>
      <c r="AQ236" s="13"/>
      <c r="AR236" s="13"/>
      <c r="AS236" s="13"/>
      <c r="AT236" s="13"/>
      <c r="AU236" s="13"/>
      <c r="AV236" s="13"/>
      <c r="AW236" s="13"/>
      <c r="AX236" s="14"/>
      <c r="AY236" s="14"/>
      <c r="AZ236" s="14"/>
      <c r="BA236" s="14"/>
      <c r="BB236" s="14"/>
      <c r="BC236" s="14"/>
      <c r="BD236" s="14"/>
      <c r="BE236" s="14"/>
      <c r="BF236" s="14"/>
      <c r="BG236" s="14"/>
      <c r="BH236" s="14"/>
      <c r="BI236" s="14"/>
      <c r="BJ236" s="14"/>
    </row>
    <row r="237" spans="1:65" s="1" customFormat="1" hidden="1" thickTop="1" thickBot="1">
      <c r="A237" s="91" t="s">
        <v>4</v>
      </c>
      <c r="B237" s="360" t="s">
        <v>1705</v>
      </c>
      <c r="C237" s="263" t="s">
        <v>10</v>
      </c>
      <c r="D237" s="253">
        <f>D319*$D$167</f>
      </c>
      <c r="E237" s="263" t="s">
        <v>10</v>
      </c>
      <c r="F237" s="253">
        <f>F319*$F$167</f>
      </c>
      <c r="G237" s="360"/>
      <c r="H237" s="246"/>
      <c r="I237" s="246"/>
      <c r="J237" s="246"/>
      <c r="K237" s="246"/>
      <c r="L237" s="246"/>
      <c r="M237" s="246"/>
      <c r="N237" s="246"/>
      <c r="O237" s="246"/>
      <c r="P237" s="246"/>
      <c r="Q237" s="246"/>
      <c r="R237" s="246"/>
      <c r="S237" s="246"/>
      <c r="T237" s="246"/>
      <c r="U237" s="246"/>
      <c r="V237" s="246"/>
      <c r="W237" s="246"/>
      <c r="X237" s="246"/>
      <c r="Y237" s="246"/>
      <c r="Z237" s="246"/>
      <c r="AA237" s="246"/>
      <c r="AB237" s="246"/>
      <c r="AC237" s="246"/>
      <c r="AD237" s="246"/>
      <c r="AE237" s="246"/>
      <c r="AF237" s="246"/>
      <c r="AG237" s="246"/>
      <c r="AH237" s="246"/>
      <c r="AI237" s="246"/>
      <c r="AJ237" s="246"/>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360"/>
      <c r="BL237" s="360"/>
      <c r="BM237" s="360"/>
    </row>
    <row r="238" spans="1:65" customFormat="1" ht="7.5" hidden="1" customHeight="1" thickTop="1" thickBot="1">
      <c r="A238" s="236"/>
      <c r="B238" s="360"/>
      <c r="C238" s="263"/>
      <c r="D238" s="235"/>
      <c r="E238" s="263"/>
      <c r="F238" s="235"/>
      <c r="G238" s="237"/>
      <c r="H238" s="240"/>
      <c r="I238" s="240"/>
      <c r="J238" s="240"/>
      <c r="K238" s="240"/>
      <c r="L238" s="240"/>
      <c r="M238" s="240"/>
      <c r="N238" s="240"/>
      <c r="O238" s="240"/>
      <c r="P238" s="240"/>
      <c r="Q238" s="240"/>
      <c r="R238" s="240"/>
      <c r="S238" s="240"/>
      <c r="T238" s="240"/>
      <c r="U238" s="240"/>
      <c r="V238" s="240"/>
      <c r="W238" s="240"/>
      <c r="X238" s="240"/>
      <c r="Y238" s="240"/>
      <c r="Z238" s="240"/>
      <c r="AA238" s="240"/>
      <c r="AB238" s="240"/>
      <c r="AC238" s="240"/>
      <c r="AD238" s="240"/>
      <c r="AE238" s="240"/>
      <c r="AF238" s="240"/>
      <c r="AG238" s="240"/>
      <c r="AH238" s="240"/>
      <c r="AI238" s="240"/>
      <c r="AJ238" s="240"/>
      <c r="AK238" s="13"/>
      <c r="AL238" s="13"/>
      <c r="AM238" s="13"/>
      <c r="AN238" s="13"/>
      <c r="AO238" s="13"/>
      <c r="AP238" s="13"/>
      <c r="AQ238" s="13"/>
      <c r="AR238" s="13"/>
      <c r="AS238" s="13"/>
      <c r="AT238" s="13"/>
      <c r="AU238" s="13"/>
      <c r="AV238" s="13"/>
      <c r="AW238" s="13"/>
      <c r="AX238" s="14"/>
      <c r="AY238" s="14"/>
      <c r="AZ238" s="14"/>
      <c r="BA238" s="14"/>
      <c r="BB238" s="14"/>
      <c r="BC238" s="14"/>
      <c r="BD238" s="14"/>
      <c r="BE238" s="14"/>
      <c r="BF238" s="14"/>
      <c r="BG238" s="14"/>
      <c r="BH238" s="14"/>
      <c r="BI238" s="14"/>
      <c r="BJ238" s="14"/>
    </row>
    <row r="239" spans="1:65" s="1" customFormat="1" hidden="1" thickTop="1" thickBot="1">
      <c r="A239" s="91" t="s">
        <v>4</v>
      </c>
      <c r="B239" s="360" t="s">
        <v>1709</v>
      </c>
      <c r="C239" s="263" t="s">
        <v>10</v>
      </c>
      <c r="D239" s="253">
        <f>D321*$D$167</f>
      </c>
      <c r="E239" s="263" t="s">
        <v>10</v>
      </c>
      <c r="F239" s="253">
        <f>F321*$F$167</f>
      </c>
      <c r="G239" s="360"/>
      <c r="H239" s="246"/>
      <c r="I239" s="246"/>
      <c r="J239" s="246"/>
      <c r="K239" s="246"/>
      <c r="L239" s="246"/>
      <c r="M239" s="246"/>
      <c r="N239" s="246"/>
      <c r="O239" s="246"/>
      <c r="P239" s="246"/>
      <c r="Q239" s="246"/>
      <c r="R239" s="246"/>
      <c r="S239" s="246"/>
      <c r="T239" s="246"/>
      <c r="U239" s="246"/>
      <c r="V239" s="246"/>
      <c r="W239" s="246"/>
      <c r="X239" s="246"/>
      <c r="Y239" s="246"/>
      <c r="Z239" s="246"/>
      <c r="AA239" s="246"/>
      <c r="AB239" s="246"/>
      <c r="AC239" s="246"/>
      <c r="AD239" s="246"/>
      <c r="AE239" s="246"/>
      <c r="AF239" s="246"/>
      <c r="AG239" s="246"/>
      <c r="AH239" s="246"/>
      <c r="AI239" s="246"/>
      <c r="AJ239" s="246"/>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360"/>
      <c r="BL239" s="360"/>
      <c r="BM239" s="360"/>
    </row>
    <row r="240" spans="1:65" customFormat="1" ht="7.5" hidden="1" customHeight="1" thickTop="1" thickBot="1">
      <c r="A240" s="236"/>
      <c r="B240" s="360"/>
      <c r="C240" s="263"/>
      <c r="D240" s="235"/>
      <c r="E240" s="263"/>
      <c r="F240" s="235"/>
      <c r="G240" s="237"/>
      <c r="H240" s="240"/>
      <c r="I240" s="240"/>
      <c r="J240" s="240"/>
      <c r="K240" s="240"/>
      <c r="L240" s="240"/>
      <c r="M240" s="240"/>
      <c r="N240" s="240"/>
      <c r="O240" s="240"/>
      <c r="P240" s="240"/>
      <c r="Q240" s="240"/>
      <c r="R240" s="240"/>
      <c r="S240" s="240"/>
      <c r="T240" s="240"/>
      <c r="U240" s="240"/>
      <c r="V240" s="240"/>
      <c r="W240" s="240"/>
      <c r="X240" s="240"/>
      <c r="Y240" s="240"/>
      <c r="Z240" s="240"/>
      <c r="AA240" s="240"/>
      <c r="AB240" s="240"/>
      <c r="AC240" s="240"/>
      <c r="AD240" s="240"/>
      <c r="AE240" s="240"/>
      <c r="AF240" s="240"/>
      <c r="AG240" s="240"/>
      <c r="AH240" s="240"/>
      <c r="AI240" s="240"/>
      <c r="AJ240" s="240"/>
      <c r="AK240" s="13"/>
      <c r="AL240" s="13"/>
      <c r="AM240" s="13"/>
      <c r="AN240" s="13"/>
      <c r="AO240" s="13"/>
      <c r="AP240" s="13"/>
      <c r="AQ240" s="13"/>
      <c r="AR240" s="13"/>
      <c r="AS240" s="13"/>
      <c r="AT240" s="13"/>
      <c r="AU240" s="13"/>
      <c r="AV240" s="13"/>
      <c r="AW240" s="13"/>
      <c r="AX240" s="14"/>
      <c r="AY240" s="14"/>
      <c r="AZ240" s="14"/>
      <c r="BA240" s="14"/>
      <c r="BB240" s="14"/>
      <c r="BC240" s="14"/>
      <c r="BD240" s="14"/>
      <c r="BE240" s="14"/>
      <c r="BF240" s="14"/>
      <c r="BG240" s="14"/>
      <c r="BH240" s="14"/>
      <c r="BI240" s="14"/>
      <c r="BJ240" s="14"/>
    </row>
    <row r="241" spans="1:65" s="1" customFormat="1" hidden="1" thickTop="1" thickBot="1">
      <c r="A241" s="91" t="s">
        <v>4</v>
      </c>
      <c r="B241" s="360" t="s">
        <v>1713</v>
      </c>
      <c r="C241" s="263" t="s">
        <v>10</v>
      </c>
      <c r="D241" s="253">
        <f>D323*$D$167</f>
      </c>
      <c r="E241" s="263" t="s">
        <v>10</v>
      </c>
      <c r="F241" s="253">
        <f>F323*$F$167</f>
      </c>
      <c r="G241" s="360"/>
      <c r="H241" s="246"/>
      <c r="I241" s="246"/>
      <c r="J241" s="246"/>
      <c r="K241" s="246"/>
      <c r="L241" s="246"/>
      <c r="M241" s="246"/>
      <c r="N241" s="246"/>
      <c r="O241" s="246"/>
      <c r="P241" s="246"/>
      <c r="Q241" s="246"/>
      <c r="R241" s="246"/>
      <c r="S241" s="246"/>
      <c r="T241" s="246"/>
      <c r="U241" s="246"/>
      <c r="V241" s="246"/>
      <c r="W241" s="246"/>
      <c r="X241" s="246"/>
      <c r="Y241" s="246"/>
      <c r="Z241" s="246"/>
      <c r="AA241" s="246"/>
      <c r="AB241" s="246"/>
      <c r="AC241" s="246"/>
      <c r="AD241" s="246"/>
      <c r="AE241" s="246"/>
      <c r="AF241" s="246"/>
      <c r="AG241" s="246"/>
      <c r="AH241" s="246"/>
      <c r="AI241" s="246"/>
      <c r="AJ241" s="246"/>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360"/>
      <c r="BL241" s="360"/>
      <c r="BM241" s="360"/>
    </row>
    <row r="242" spans="1:65" customFormat="1" ht="7.5" hidden="1" customHeight="1" thickTop="1" thickBot="1">
      <c r="A242" s="236"/>
      <c r="B242" s="360"/>
      <c r="C242" s="263"/>
      <c r="D242" s="235"/>
      <c r="E242" s="263"/>
      <c r="F242" s="235"/>
      <c r="G242" s="237"/>
      <c r="H242" s="240"/>
      <c r="I242" s="240"/>
      <c r="J242" s="240"/>
      <c r="K242" s="240"/>
      <c r="L242" s="240"/>
      <c r="M242" s="240"/>
      <c r="N242" s="240"/>
      <c r="O242" s="240"/>
      <c r="P242" s="240"/>
      <c r="Q242" s="240"/>
      <c r="R242" s="240"/>
      <c r="S242" s="240"/>
      <c r="T242" s="240"/>
      <c r="U242" s="240"/>
      <c r="V242" s="240"/>
      <c r="W242" s="240"/>
      <c r="X242" s="240"/>
      <c r="Y242" s="240"/>
      <c r="Z242" s="240"/>
      <c r="AA242" s="240"/>
      <c r="AB242" s="240"/>
      <c r="AC242" s="240"/>
      <c r="AD242" s="240"/>
      <c r="AE242" s="240"/>
      <c r="AF242" s="240"/>
      <c r="AG242" s="240"/>
      <c r="AH242" s="240"/>
      <c r="AI242" s="240"/>
      <c r="AJ242" s="240"/>
      <c r="AK242" s="13"/>
      <c r="AL242" s="13"/>
      <c r="AM242" s="13"/>
      <c r="AN242" s="13"/>
      <c r="AO242" s="13"/>
      <c r="AP242" s="13"/>
      <c r="AQ242" s="13"/>
      <c r="AR242" s="13"/>
      <c r="AS242" s="13"/>
      <c r="AT242" s="13"/>
      <c r="AU242" s="13"/>
      <c r="AV242" s="13"/>
      <c r="AW242" s="13"/>
      <c r="AX242" s="14"/>
      <c r="AY242" s="14"/>
      <c r="AZ242" s="14"/>
      <c r="BA242" s="14"/>
      <c r="BB242" s="14"/>
      <c r="BC242" s="14"/>
      <c r="BD242" s="14"/>
      <c r="BE242" s="14"/>
      <c r="BF242" s="14"/>
      <c r="BG242" s="14"/>
      <c r="BH242" s="14"/>
      <c r="BI242" s="14"/>
      <c r="BJ242" s="14"/>
    </row>
    <row r="243" spans="1:65" s="1" customFormat="1" hidden="1" thickTop="1" thickBot="1">
      <c r="A243" s="91" t="s">
        <v>4</v>
      </c>
      <c r="B243" s="360" t="s">
        <v>1717</v>
      </c>
      <c r="C243" s="263" t="s">
        <v>10</v>
      </c>
      <c r="D243" s="253">
        <f>D325*$D$167</f>
      </c>
      <c r="E243" s="263" t="s">
        <v>10</v>
      </c>
      <c r="F243" s="253">
        <f>F325*$F$167</f>
      </c>
      <c r="G243" s="360"/>
      <c r="H243" s="246"/>
      <c r="I243" s="246"/>
      <c r="J243" s="246"/>
      <c r="K243" s="246"/>
      <c r="L243" s="246"/>
      <c r="M243" s="246"/>
      <c r="N243" s="246"/>
      <c r="O243" s="246"/>
      <c r="P243" s="246"/>
      <c r="Q243" s="246"/>
      <c r="R243" s="246"/>
      <c r="S243" s="246"/>
      <c r="T243" s="246"/>
      <c r="U243" s="246"/>
      <c r="V243" s="246"/>
      <c r="W243" s="246"/>
      <c r="X243" s="246"/>
      <c r="Y243" s="246"/>
      <c r="Z243" s="246"/>
      <c r="AA243" s="246"/>
      <c r="AB243" s="246"/>
      <c r="AC243" s="246"/>
      <c r="AD243" s="246"/>
      <c r="AE243" s="246"/>
      <c r="AF243" s="246"/>
      <c r="AG243" s="246"/>
      <c r="AH243" s="246"/>
      <c r="AI243" s="246"/>
      <c r="AJ243" s="246"/>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360"/>
      <c r="BL243" s="360"/>
      <c r="BM243" s="360"/>
    </row>
    <row r="244" spans="1:65" customFormat="1" ht="7.5" hidden="1" customHeight="1" thickTop="1" thickBot="1">
      <c r="A244" s="236"/>
      <c r="B244" s="360"/>
      <c r="C244" s="263"/>
      <c r="D244" s="235"/>
      <c r="E244" s="263"/>
      <c r="F244" s="235"/>
      <c r="G244" s="237"/>
      <c r="H244" s="240"/>
      <c r="I244" s="240"/>
      <c r="J244" s="240"/>
      <c r="K244" s="240"/>
      <c r="L244" s="240"/>
      <c r="M244" s="240"/>
      <c r="N244" s="240"/>
      <c r="O244" s="240"/>
      <c r="P244" s="240"/>
      <c r="Q244" s="240"/>
      <c r="R244" s="240"/>
      <c r="S244" s="240"/>
      <c r="T244" s="240"/>
      <c r="U244" s="240"/>
      <c r="V244" s="240"/>
      <c r="W244" s="240"/>
      <c r="X244" s="240"/>
      <c r="Y244" s="240"/>
      <c r="Z244" s="240"/>
      <c r="AA244" s="240"/>
      <c r="AB244" s="240"/>
      <c r="AC244" s="240"/>
      <c r="AD244" s="240"/>
      <c r="AE244" s="240"/>
      <c r="AF244" s="240"/>
      <c r="AG244" s="240"/>
      <c r="AH244" s="240"/>
      <c r="AI244" s="240"/>
      <c r="AJ244" s="240"/>
      <c r="AK244" s="13"/>
      <c r="AL244" s="13"/>
      <c r="AM244" s="13"/>
      <c r="AN244" s="13"/>
      <c r="AO244" s="13"/>
      <c r="AP244" s="13"/>
      <c r="AQ244" s="13"/>
      <c r="AR244" s="13"/>
      <c r="AS244" s="13"/>
      <c r="AT244" s="13"/>
      <c r="AU244" s="13"/>
      <c r="AV244" s="13"/>
      <c r="AW244" s="13"/>
      <c r="AX244" s="14"/>
      <c r="AY244" s="14"/>
      <c r="AZ244" s="14"/>
      <c r="BA244" s="14"/>
      <c r="BB244" s="14"/>
      <c r="BC244" s="14"/>
      <c r="BD244" s="14"/>
      <c r="BE244" s="14"/>
      <c r="BF244" s="14"/>
      <c r="BG244" s="14"/>
      <c r="BH244" s="14"/>
      <c r="BI244" s="14"/>
      <c r="BJ244" s="14"/>
    </row>
    <row r="245" spans="1:65" s="1" customFormat="1" hidden="1" thickTop="1" thickBot="1">
      <c r="A245" s="91" t="s">
        <v>4</v>
      </c>
      <c r="B245" s="360" t="s">
        <v>1721</v>
      </c>
      <c r="C245" s="263" t="s">
        <v>10</v>
      </c>
      <c r="D245" s="253">
        <f>D327*$D$167</f>
      </c>
      <c r="E245" s="263" t="s">
        <v>10</v>
      </c>
      <c r="F245" s="253">
        <f>F327*$F$167</f>
      </c>
      <c r="G245" s="360"/>
      <c r="H245" s="246"/>
      <c r="I245" s="246"/>
      <c r="J245" s="246"/>
      <c r="K245" s="246"/>
      <c r="L245" s="246"/>
      <c r="M245" s="246"/>
      <c r="N245" s="246"/>
      <c r="O245" s="246"/>
      <c r="P245" s="246"/>
      <c r="Q245" s="246"/>
      <c r="R245" s="246"/>
      <c r="S245" s="246"/>
      <c r="T245" s="246"/>
      <c r="U245" s="246"/>
      <c r="V245" s="246"/>
      <c r="W245" s="246"/>
      <c r="X245" s="246"/>
      <c r="Y245" s="246"/>
      <c r="Z245" s="246"/>
      <c r="AA245" s="246"/>
      <c r="AB245" s="246"/>
      <c r="AC245" s="246"/>
      <c r="AD245" s="246"/>
      <c r="AE245" s="246"/>
      <c r="AF245" s="246"/>
      <c r="AG245" s="246"/>
      <c r="AH245" s="246"/>
      <c r="AI245" s="246"/>
      <c r="AJ245" s="246"/>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360"/>
      <c r="BL245" s="360"/>
      <c r="BM245" s="360"/>
    </row>
    <row r="246" spans="1:65" customFormat="1" ht="13.5" hidden="1" thickTop="1">
      <c r="A246" s="70"/>
      <c r="B246" s="360"/>
      <c r="C246" s="271"/>
      <c r="D246" s="235"/>
      <c r="E246" s="265"/>
      <c r="F246" s="254"/>
      <c r="G246" s="1"/>
      <c r="H246" s="240"/>
      <c r="I246" s="240"/>
      <c r="J246" s="240"/>
      <c r="K246" s="240"/>
      <c r="L246" s="240"/>
      <c r="M246" s="240"/>
      <c r="N246" s="240"/>
      <c r="O246" s="240"/>
      <c r="P246" s="240"/>
      <c r="Q246" s="240"/>
      <c r="R246" s="240"/>
      <c r="S246" s="240"/>
      <c r="T246" s="240"/>
      <c r="U246" s="240"/>
      <c r="V246" s="240"/>
      <c r="W246" s="240"/>
      <c r="X246" s="240"/>
      <c r="Y246" s="240"/>
      <c r="Z246" s="240"/>
      <c r="AA246" s="240"/>
      <c r="AB246" s="240"/>
      <c r="AC246" s="240"/>
      <c r="AD246" s="240"/>
      <c r="AE246" s="240"/>
      <c r="AF246" s="240"/>
      <c r="AG246" s="240"/>
      <c r="AH246" s="240"/>
      <c r="AI246" s="240"/>
      <c r="AJ246" s="240"/>
      <c r="AK246" s="13"/>
      <c r="AL246" s="13"/>
      <c r="AM246" s="13"/>
      <c r="AN246" s="13"/>
      <c r="AO246" s="13"/>
      <c r="AP246" s="13"/>
      <c r="AQ246" s="13"/>
      <c r="AR246" s="13"/>
      <c r="AS246" s="13"/>
      <c r="AT246" s="13"/>
      <c r="AU246" s="13"/>
      <c r="AV246" s="13"/>
      <c r="AW246" s="13"/>
      <c r="AX246" s="14"/>
      <c r="AY246" s="14"/>
      <c r="AZ246" s="14"/>
      <c r="BA246" s="14"/>
      <c r="BB246" s="14"/>
      <c r="BC246" s="14"/>
      <c r="BD246" s="14"/>
      <c r="BE246" s="14"/>
      <c r="BF246" s="14"/>
      <c r="BG246" s="14"/>
      <c r="BH246" s="14"/>
      <c r="BI246" s="14"/>
      <c r="BJ246" s="14"/>
    </row>
    <row r="247" spans="1:65" customFormat="1" ht="12.75">
      <c r="A247" s="70"/>
      <c r="B247" s="353"/>
      <c r="C247" s="271"/>
      <c r="D247" s="2"/>
      <c r="E247" s="265"/>
      <c r="F247" s="254"/>
      <c r="G247" s="1"/>
      <c r="H247" s="240"/>
      <c r="I247" s="240"/>
      <c r="J247" s="240"/>
      <c r="K247" s="240"/>
      <c r="L247" s="240"/>
      <c r="M247" s="240"/>
      <c r="N247" s="240"/>
      <c r="O247" s="240"/>
      <c r="P247" s="240"/>
      <c r="Q247" s="240"/>
      <c r="R247" s="240"/>
      <c r="S247" s="240"/>
      <c r="T247" s="240"/>
      <c r="U247" s="240"/>
      <c r="V247" s="240"/>
      <c r="W247" s="240"/>
      <c r="X247" s="240"/>
      <c r="Y247" s="240"/>
      <c r="Z247" s="240"/>
      <c r="AA247" s="240"/>
      <c r="AB247" s="240"/>
      <c r="AC247" s="240"/>
      <c r="AD247" s="240"/>
      <c r="AE247" s="240"/>
      <c r="AF247" s="240"/>
      <c r="AG247" s="240"/>
      <c r="AH247" s="240"/>
      <c r="AI247" s="240"/>
      <c r="AJ247" s="240"/>
      <c r="AK247" s="13"/>
      <c r="AL247" s="13"/>
      <c r="AM247" s="13"/>
      <c r="AN247" s="13"/>
      <c r="AO247" s="13"/>
      <c r="AP247" s="13"/>
      <c r="AQ247" s="13"/>
      <c r="AR247" s="13"/>
      <c r="AS247" s="13"/>
      <c r="AT247" s="13"/>
      <c r="AU247" s="13"/>
      <c r="AV247" s="13"/>
      <c r="AW247" s="13"/>
      <c r="AX247" s="14"/>
      <c r="AY247" s="14"/>
      <c r="AZ247" s="14"/>
      <c r="BA247" s="14"/>
      <c r="BB247" s="14"/>
      <c r="BC247" s="14"/>
      <c r="BD247" s="14"/>
      <c r="BE247" s="14"/>
      <c r="BF247" s="14"/>
      <c r="BG247" s="14"/>
      <c r="BH247" s="14"/>
      <c r="BI247" s="14"/>
      <c r="BJ247" s="14"/>
    </row>
    <row r="248" spans="1:65" customFormat="1" ht="12.75">
      <c r="A248" s="70"/>
      <c r="B248" s="234" t="str">
        <f>Vertaling!B119</f>
      </c>
      <c r="C248" s="268"/>
      <c r="D248" s="278" t="s">
        <v>5</v>
      </c>
      <c r="E248" s="265"/>
      <c r="F248" s="278" t="s">
        <v>6</v>
      </c>
      <c r="G248" s="255"/>
      <c r="H248" s="240"/>
      <c r="I248" s="240"/>
      <c r="J248" s="240"/>
      <c r="K248" s="240"/>
      <c r="L248" s="240"/>
      <c r="M248" s="240"/>
      <c r="N248" s="240"/>
      <c r="O248" s="240"/>
      <c r="P248" s="240"/>
      <c r="Q248" s="240"/>
      <c r="R248" s="240"/>
      <c r="S248" s="240"/>
      <c r="T248" s="240"/>
      <c r="U248" s="240"/>
      <c r="V248" s="240"/>
      <c r="W248" s="240"/>
      <c r="X248" s="240"/>
      <c r="Y248" s="240"/>
      <c r="Z248" s="240"/>
      <c r="AA248" s="240"/>
      <c r="AB248" s="240"/>
      <c r="AC248" s="240"/>
      <c r="AD248" s="240"/>
      <c r="AE248" s="240"/>
      <c r="AF248" s="240"/>
      <c r="AG248" s="240"/>
      <c r="AH248" s="240"/>
      <c r="AI248" s="240"/>
      <c r="AJ248" s="240"/>
      <c r="AK248" s="13"/>
      <c r="AL248" s="13"/>
      <c r="AM248" s="13"/>
      <c r="AN248" s="13"/>
      <c r="AO248" s="13"/>
      <c r="AP248" s="13"/>
      <c r="AQ248" s="13"/>
      <c r="AR248" s="13"/>
      <c r="AS248" s="13"/>
      <c r="AT248" s="13"/>
      <c r="AU248" s="13"/>
      <c r="AV248" s="13"/>
      <c r="AW248" s="13"/>
      <c r="AX248" s="14"/>
      <c r="AY248" s="14"/>
      <c r="AZ248" s="14"/>
      <c r="BA248" s="14"/>
      <c r="BB248" s="14"/>
      <c r="BC248" s="14"/>
      <c r="BD248" s="14"/>
      <c r="BE248" s="14"/>
      <c r="BF248" s="14"/>
      <c r="BG248" s="14"/>
      <c r="BH248" s="14"/>
      <c r="BI248" s="14"/>
      <c r="BJ248" s="14"/>
    </row>
    <row r="249" spans="1:65" customFormat="1" ht="16.5" hidden="1" customHeight="1">
      <c r="A249" s="91" t="str">
        <f>CONCATENATE(LEFT(A174,2)+1,".")</f>
      </c>
      <c r="B249" s="353" t="s">
        <v>22</v>
      </c>
      <c r="C249" s="263" t="s">
        <v>10</v>
      </c>
      <c r="D249" s="256" t="e">
        <f>IF(#REF!="",0,#REF!)</f>
      </c>
      <c r="E249" s="263" t="s">
        <v>10</v>
      </c>
      <c r="F249" s="256" t="e">
        <f>IF(#REF!="",0,#REF!)</f>
      </c>
      <c r="G249" s="1"/>
      <c r="H249" s="240"/>
      <c r="I249" s="240"/>
      <c r="J249" s="240"/>
      <c r="K249" s="240"/>
      <c r="L249" s="240"/>
      <c r="M249" s="240"/>
      <c r="N249" s="240"/>
      <c r="O249" s="240"/>
      <c r="P249" s="240"/>
      <c r="Q249" s="240"/>
      <c r="R249" s="240"/>
      <c r="S249" s="240"/>
      <c r="T249" s="240"/>
      <c r="U249" s="240"/>
      <c r="V249" s="240"/>
      <c r="W249" s="240"/>
      <c r="X249" s="240"/>
      <c r="Y249" s="240"/>
      <c r="Z249" s="240"/>
      <c r="AA249" s="240"/>
      <c r="AB249" s="240"/>
      <c r="AC249" s="240"/>
      <c r="AD249" s="240"/>
      <c r="AE249" s="240"/>
      <c r="AF249" s="240"/>
      <c r="AG249" s="240"/>
      <c r="AH249" s="240"/>
      <c r="AI249" s="240"/>
      <c r="AJ249" s="240"/>
      <c r="AK249" s="13"/>
      <c r="AL249" s="13"/>
      <c r="AM249" s="13"/>
      <c r="AN249" s="13"/>
      <c r="AO249" s="13"/>
      <c r="AP249" s="13"/>
      <c r="AQ249" s="13"/>
      <c r="AR249" s="13"/>
      <c r="AS249" s="13"/>
      <c r="AT249" s="13"/>
      <c r="AU249" s="13"/>
      <c r="AV249" s="13"/>
      <c r="AW249" s="13"/>
      <c r="AX249" s="14"/>
      <c r="AY249" s="14"/>
      <c r="AZ249" s="14"/>
      <c r="BA249" s="14"/>
      <c r="BB249" s="14"/>
      <c r="BC249" s="14"/>
      <c r="BD249" s="14"/>
      <c r="BE249" s="14"/>
      <c r="BF249" s="14"/>
      <c r="BG249" s="14"/>
      <c r="BH249" s="14"/>
      <c r="BI249" s="14"/>
      <c r="BJ249" s="14"/>
    </row>
    <row r="250" spans="1:65" customFormat="1" ht="7.5" hidden="1" customHeight="1">
      <c r="A250" s="70"/>
      <c r="B250" s="353"/>
      <c r="C250" s="264"/>
      <c r="D250" s="191"/>
      <c r="E250" s="264"/>
      <c r="F250" s="191"/>
      <c r="G250" s="1"/>
      <c r="H250" s="240"/>
      <c r="I250" s="240"/>
      <c r="J250" s="240"/>
      <c r="K250" s="240"/>
      <c r="L250" s="240"/>
      <c r="M250" s="240"/>
      <c r="N250" s="240"/>
      <c r="O250" s="240"/>
      <c r="P250" s="240"/>
      <c r="Q250" s="240"/>
      <c r="R250" s="240"/>
      <c r="S250" s="240"/>
      <c r="T250" s="240"/>
      <c r="U250" s="240"/>
      <c r="V250" s="240"/>
      <c r="W250" s="240"/>
      <c r="X250" s="240"/>
      <c r="Y250" s="240"/>
      <c r="Z250" s="240"/>
      <c r="AA250" s="240"/>
      <c r="AB250" s="240"/>
      <c r="AC250" s="240"/>
      <c r="AD250" s="240"/>
      <c r="AE250" s="240"/>
      <c r="AF250" s="240"/>
      <c r="AG250" s="240"/>
      <c r="AH250" s="240"/>
      <c r="AI250" s="240"/>
      <c r="AJ250" s="240"/>
      <c r="AK250" s="13"/>
      <c r="AL250" s="13"/>
      <c r="AM250" s="13"/>
      <c r="AN250" s="13"/>
      <c r="AO250" s="13"/>
      <c r="AP250" s="13"/>
      <c r="AQ250" s="13"/>
      <c r="AR250" s="13"/>
      <c r="AS250" s="13"/>
      <c r="AT250" s="13"/>
      <c r="AU250" s="13"/>
      <c r="AV250" s="13"/>
      <c r="AW250" s="13"/>
      <c r="AX250" s="14"/>
      <c r="AY250" s="14"/>
      <c r="AZ250" s="14"/>
      <c r="BA250" s="14"/>
      <c r="BB250" s="14"/>
      <c r="BC250" s="14"/>
      <c r="BD250" s="14"/>
      <c r="BE250" s="14"/>
      <c r="BF250" s="14"/>
      <c r="BG250" s="14"/>
      <c r="BH250" s="14"/>
      <c r="BI250" s="14"/>
      <c r="BJ250" s="14"/>
    </row>
    <row r="251" spans="1:65" customFormat="1" ht="16.5" customHeight="1">
      <c r="A251" s="91" t="str">
        <f>CONCATENATE(LEFT(A171,2)+1,".")</f>
      </c>
      <c r="B251" s="353" t="str">
        <f>Vertaling!B120</f>
      </c>
      <c r="C251" s="263" t="str">
        <f>Vertaling!$B$145</f>
      </c>
      <c r="D251" s="280">
        <v>0.1</v>
      </c>
      <c r="E251" s="263" t="str">
        <f>Vertaling!$B$145</f>
      </c>
      <c r="F251" s="280">
        <f>IF($B251="",0,IF(DATA!$B$147="",22,DATA!$B$147))</f>
      </c>
      <c r="G251" s="244"/>
      <c r="H251" s="240"/>
      <c r="I251" s="240"/>
      <c r="J251" s="240"/>
      <c r="K251" s="240"/>
      <c r="L251" s="240"/>
      <c r="M251" s="240"/>
      <c r="N251" s="240"/>
      <c r="O251" s="240"/>
      <c r="P251" s="240"/>
      <c r="Q251" s="240"/>
      <c r="R251" s="240"/>
      <c r="S251" s="240"/>
      <c r="T251" s="240"/>
      <c r="U251" s="240"/>
      <c r="V251" s="240"/>
      <c r="W251" s="240"/>
      <c r="X251" s="240"/>
      <c r="Y251" s="240"/>
      <c r="Z251" s="240"/>
      <c r="AA251" s="240"/>
      <c r="AB251" s="240"/>
      <c r="AC251" s="240"/>
      <c r="AD251" s="240"/>
      <c r="AE251" s="240"/>
      <c r="AF251" s="240"/>
      <c r="AG251" s="240"/>
      <c r="AH251" s="240"/>
      <c r="AI251" s="240"/>
      <c r="AJ251" s="240"/>
      <c r="AK251" s="13"/>
      <c r="AL251" s="13"/>
      <c r="AM251" s="13"/>
      <c r="AN251" s="13"/>
      <c r="AO251" s="13"/>
      <c r="AP251" s="13"/>
      <c r="AQ251" s="13"/>
      <c r="AR251" s="13"/>
      <c r="AS251" s="13"/>
      <c r="AT251" s="13"/>
      <c r="AU251" s="13"/>
      <c r="AV251" s="13"/>
      <c r="AW251" s="13"/>
      <c r="AX251" s="14"/>
      <c r="AY251" s="14"/>
      <c r="AZ251" s="14"/>
      <c r="BA251" s="14"/>
      <c r="BB251" s="14"/>
      <c r="BC251" s="14"/>
      <c r="BD251" s="14"/>
      <c r="BE251" s="14"/>
      <c r="BF251" s="14"/>
      <c r="BG251" s="14"/>
      <c r="BH251" s="14"/>
      <c r="BI251" s="14"/>
      <c r="BJ251" s="14"/>
    </row>
    <row r="252" spans="1:65" customFormat="1" ht="7.5" customHeight="1">
      <c r="A252" s="70"/>
      <c r="B252" s="353"/>
      <c r="C252" s="264"/>
      <c r="D252" s="191"/>
      <c r="E252" s="264"/>
      <c r="F252" s="191"/>
      <c r="G252" s="1"/>
      <c r="H252" s="240"/>
      <c r="I252" s="240"/>
      <c r="J252" s="240"/>
      <c r="K252" s="240"/>
      <c r="L252" s="240"/>
      <c r="M252" s="240"/>
      <c r="N252" s="240"/>
      <c r="O252" s="240"/>
      <c r="P252" s="240"/>
      <c r="Q252" s="240"/>
      <c r="R252" s="240"/>
      <c r="S252" s="240"/>
      <c r="T252" s="240"/>
      <c r="U252" s="240"/>
      <c r="V252" s="240"/>
      <c r="W252" s="240"/>
      <c r="X252" s="240"/>
      <c r="Y252" s="240"/>
      <c r="Z252" s="240"/>
      <c r="AA252" s="240"/>
      <c r="AB252" s="240"/>
      <c r="AC252" s="240"/>
      <c r="AD252" s="240"/>
      <c r="AE252" s="240"/>
      <c r="AF252" s="240"/>
      <c r="AG252" s="240"/>
      <c r="AH252" s="240"/>
      <c r="AI252" s="240"/>
      <c r="AJ252" s="240"/>
      <c r="AK252" s="13"/>
      <c r="AL252" s="13"/>
      <c r="AM252" s="13"/>
      <c r="AN252" s="13"/>
      <c r="AO252" s="13"/>
      <c r="AP252" s="13"/>
      <c r="AQ252" s="13"/>
      <c r="AR252" s="13"/>
      <c r="AS252" s="13"/>
      <c r="AT252" s="13"/>
      <c r="AU252" s="13"/>
      <c r="AV252" s="13"/>
      <c r="AW252" s="13"/>
      <c r="AX252" s="14"/>
      <c r="AY252" s="14"/>
      <c r="AZ252" s="14"/>
      <c r="BA252" s="14"/>
      <c r="BB252" s="14"/>
      <c r="BC252" s="14"/>
      <c r="BD252" s="14"/>
      <c r="BE252" s="14"/>
      <c r="BF252" s="14"/>
      <c r="BG252" s="14"/>
      <c r="BH252" s="14"/>
      <c r="BI252" s="14"/>
      <c r="BJ252" s="14"/>
    </row>
    <row r="253" spans="1:65" customFormat="1" ht="16.5" customHeight="1">
      <c r="A253" s="91" t="str">
        <f>CONCATENATE(LEFT(A251,2)+1,".")</f>
      </c>
      <c r="B253" s="353" t="str">
        <f>Vertaling!B121</f>
      </c>
      <c r="C253" s="263" t="str">
        <f>Vertaling!$B$145</f>
      </c>
      <c r="D253" s="280" t="str">
        <f>IF(DATA!B142=0,"Immediatamente",IF(DATA!B142="","Immediatamente",IF(DATA!B142=dropdowns!B8,"Immediatamente",IF(DATA!B142=dropdowns!B9,"Entro 30 giorni",IF(DATA!B142=dropdowns!B10,"Entro 60 giorni",IF(DATA!B142=dropdowns!B11,"Entro 90 giorni","Immediatamente"))))))</f>
      </c>
      <c r="E253" s="263" t="str">
        <f>Vertaling!$B$145</f>
      </c>
      <c r="F253" s="280" t="str">
        <f>IF(DATA!B184=0,"Immediatamente",IF(DATA!B184="","Immediatamente",IF(DATA!B184=dropdowns!B8,"Immediatamente",IF(DATA!B184=dropdowns!B9,"Entro 30 giorni",IF(DATA!B184=dropdowns!B10,"Entro 60 giorni",IF(DATA!B184=dropdowns!B11,"Entro 90 giorni","Immediatamente"))))))</f>
      </c>
      <c r="G253" s="1"/>
      <c r="H253" s="240"/>
      <c r="I253" s="240"/>
      <c r="J253" s="240"/>
      <c r="K253" s="240"/>
      <c r="L253" s="240"/>
      <c r="M253" s="240"/>
      <c r="N253" s="240"/>
      <c r="O253" s="240"/>
      <c r="P253" s="240"/>
      <c r="Q253" s="240"/>
      <c r="R253" s="240"/>
      <c r="S253" s="240"/>
      <c r="T253" s="240"/>
      <c r="U253" s="240"/>
      <c r="V253" s="240"/>
      <c r="W253" s="240"/>
      <c r="X253" s="240"/>
      <c r="Y253" s="240"/>
      <c r="Z253" s="240"/>
      <c r="AA253" s="240"/>
      <c r="AB253" s="240"/>
      <c r="AC253" s="240"/>
      <c r="AD253" s="240"/>
      <c r="AE253" s="240"/>
      <c r="AF253" s="240"/>
      <c r="AG253" s="240"/>
      <c r="AH253" s="240"/>
      <c r="AI253" s="240"/>
      <c r="AJ253" s="240"/>
      <c r="AK253" s="13"/>
      <c r="AL253" s="13"/>
      <c r="AM253" s="13"/>
      <c r="AN253" s="13"/>
      <c r="AO253" s="13"/>
      <c r="AP253" s="13"/>
      <c r="AQ253" s="13"/>
      <c r="AR253" s="13"/>
      <c r="AS253" s="13"/>
      <c r="AT253" s="13"/>
      <c r="AU253" s="13"/>
      <c r="AV253" s="13"/>
      <c r="AW253" s="13"/>
      <c r="AX253" s="14"/>
      <c r="AY253" s="14"/>
      <c r="AZ253" s="14"/>
      <c r="BA253" s="14"/>
      <c r="BB253" s="14"/>
      <c r="BC253" s="14"/>
      <c r="BD253" s="14"/>
      <c r="BE253" s="14"/>
      <c r="BF253" s="14"/>
      <c r="BG253" s="14"/>
      <c r="BH253" s="14"/>
      <c r="BI253" s="14"/>
      <c r="BJ253" s="14"/>
    </row>
    <row r="254" spans="1:65" customFormat="1" ht="12.75">
      <c r="A254" s="70"/>
      <c r="B254" s="353"/>
      <c r="C254" s="271"/>
      <c r="D254" s="1"/>
      <c r="E254" s="265"/>
      <c r="F254" s="353"/>
      <c r="G254" s="1"/>
      <c r="H254" s="240"/>
      <c r="I254" s="240"/>
      <c r="J254" s="240"/>
      <c r="K254" s="240"/>
      <c r="L254" s="240"/>
      <c r="M254" s="240"/>
      <c r="N254" s="240"/>
      <c r="O254" s="240"/>
      <c r="P254" s="240"/>
      <c r="Q254" s="240"/>
      <c r="R254" s="240"/>
      <c r="S254" s="240"/>
      <c r="T254" s="240"/>
      <c r="U254" s="240"/>
      <c r="V254" s="240"/>
      <c r="W254" s="240"/>
      <c r="X254" s="240"/>
      <c r="Y254" s="240"/>
      <c r="Z254" s="240"/>
      <c r="AA254" s="240"/>
      <c r="AB254" s="240"/>
      <c r="AC254" s="240"/>
      <c r="AD254" s="240"/>
      <c r="AE254" s="240"/>
      <c r="AF254" s="240"/>
      <c r="AG254" s="240"/>
      <c r="AH254" s="240"/>
      <c r="AI254" s="240"/>
      <c r="AJ254" s="240"/>
      <c r="AK254" s="13"/>
      <c r="AL254" s="13"/>
      <c r="AM254" s="13"/>
      <c r="AN254" s="13"/>
      <c r="AO254" s="13"/>
      <c r="AP254" s="13"/>
      <c r="AQ254" s="13"/>
      <c r="AR254" s="13"/>
      <c r="AS254" s="13"/>
      <c r="AT254" s="13"/>
      <c r="AU254" s="13"/>
      <c r="AV254" s="13"/>
      <c r="AW254" s="13"/>
      <c r="AX254" s="14"/>
      <c r="AY254" s="14"/>
      <c r="AZ254" s="14"/>
      <c r="BA254" s="14"/>
      <c r="BB254" s="14"/>
      <c r="BC254" s="14"/>
      <c r="BD254" s="14"/>
      <c r="BE254" s="14"/>
      <c r="BF254" s="14"/>
      <c r="BG254" s="14"/>
      <c r="BH254" s="14"/>
      <c r="BI254" s="14"/>
      <c r="BJ254" s="14"/>
    </row>
    <row r="255" spans="1:65" customFormat="1" ht="12.75">
      <c r="A255" s="70"/>
      <c r="B255" s="234" t="str">
        <f>Vertaling!B122</f>
      </c>
      <c r="C255" s="275"/>
      <c r="D255" s="1"/>
      <c r="E255" s="268"/>
      <c r="F255" s="239"/>
      <c r="G255" s="255"/>
      <c r="H255" s="240"/>
      <c r="I255" s="240"/>
      <c r="J255" s="240"/>
      <c r="K255" s="240"/>
      <c r="L255" s="240"/>
      <c r="M255" s="240"/>
      <c r="N255" s="240"/>
      <c r="O255" s="240"/>
      <c r="P255" s="240"/>
      <c r="Q255" s="240"/>
      <c r="R255" s="240"/>
      <c r="S255" s="240"/>
      <c r="T255" s="240"/>
      <c r="U255" s="240"/>
      <c r="V255" s="240"/>
      <c r="W255" s="240"/>
      <c r="X255" s="240"/>
      <c r="Y255" s="240"/>
      <c r="Z255" s="240"/>
      <c r="AA255" s="240"/>
      <c r="AB255" s="240"/>
      <c r="AC255" s="240"/>
      <c r="AD255" s="240"/>
      <c r="AE255" s="240"/>
      <c r="AF255" s="240"/>
      <c r="AG255" s="240"/>
      <c r="AH255" s="240"/>
      <c r="AI255" s="240"/>
      <c r="AJ255" s="240"/>
      <c r="AK255" s="13"/>
      <c r="AL255" s="13"/>
      <c r="AM255" s="13"/>
      <c r="AN255" s="13"/>
      <c r="AO255" s="13"/>
      <c r="AP255" s="13"/>
      <c r="AQ255" s="13"/>
      <c r="AR255" s="13"/>
      <c r="AS255" s="13"/>
      <c r="AT255" s="13"/>
      <c r="AU255" s="13"/>
      <c r="AV255" s="13"/>
      <c r="AW255" s="13"/>
      <c r="AX255" s="14"/>
      <c r="AY255" s="14"/>
      <c r="AZ255" s="14"/>
      <c r="BA255" s="14"/>
      <c r="BB255" s="14"/>
      <c r="BC255" s="14"/>
      <c r="BD255" s="14"/>
      <c r="BE255" s="14"/>
      <c r="BF255" s="14"/>
      <c r="BG255" s="14"/>
      <c r="BH255" s="14"/>
      <c r="BI255" s="14"/>
      <c r="BJ255" s="14"/>
    </row>
    <row r="256" spans="1:65" customFormat="1" ht="16.5" customHeight="1">
      <c r="A256" s="91" t="str">
        <f>CONCATENATE(LEFT(A253,2)+1,".")</f>
      </c>
      <c r="B256" s="353" t="str">
        <f>Vertaling!B123</f>
      </c>
      <c r="C256" s="265"/>
      <c r="D256" s="278" t="s">
        <v>5</v>
      </c>
      <c r="E256" s="265"/>
      <c r="F256" s="278" t="s">
        <v>6</v>
      </c>
      <c r="G256" s="237"/>
      <c r="H256" s="240"/>
      <c r="I256" s="240"/>
      <c r="J256" s="240"/>
      <c r="K256" s="240"/>
      <c r="L256" s="240"/>
      <c r="M256" s="240"/>
      <c r="N256" s="240"/>
      <c r="O256" s="240"/>
      <c r="P256" s="240"/>
      <c r="Q256" s="240"/>
      <c r="R256" s="240"/>
      <c r="S256" s="240"/>
      <c r="T256" s="240"/>
      <c r="U256" s="240"/>
      <c r="V256" s="240"/>
      <c r="W256" s="240"/>
      <c r="X256" s="240"/>
      <c r="Y256" s="240"/>
      <c r="Z256" s="240"/>
      <c r="AA256" s="240"/>
      <c r="AB256" s="240"/>
      <c r="AC256" s="240"/>
      <c r="AD256" s="240"/>
      <c r="AE256" s="240"/>
      <c r="AF256" s="240"/>
      <c r="AG256" s="240"/>
      <c r="AH256" s="240"/>
      <c r="AI256" s="240"/>
      <c r="AJ256" s="240"/>
      <c r="AK256" s="13"/>
      <c r="AL256" s="13"/>
      <c r="AM256" s="13"/>
      <c r="AN256" s="13"/>
      <c r="AO256" s="13"/>
      <c r="AP256" s="13"/>
      <c r="AQ256" s="13"/>
      <c r="AR256" s="13"/>
      <c r="AS256" s="13"/>
      <c r="AT256" s="13"/>
      <c r="AU256" s="13"/>
      <c r="AV256" s="13"/>
      <c r="AW256" s="13"/>
      <c r="AX256" s="14"/>
      <c r="AY256" s="14"/>
      <c r="AZ256" s="14"/>
      <c r="BA256" s="14"/>
      <c r="BB256" s="14"/>
      <c r="BC256" s="14"/>
      <c r="BD256" s="14"/>
      <c r="BE256" s="14"/>
      <c r="BF256" s="14"/>
      <c r="BG256" s="14"/>
      <c r="BH256" s="14"/>
      <c r="BI256" s="14"/>
      <c r="BJ256" s="14"/>
    </row>
    <row r="257" spans="1:65" s="1" customFormat="1" ht="12.75">
      <c r="A257" s="91" t="s">
        <v>4</v>
      </c>
      <c r="B257" s="353" t="str">
        <f>Vertaling!B124</f>
      </c>
      <c r="C257" s="263" t="str">
        <f>Vertaling!$B$147</f>
      </c>
      <c r="D257" s="279">
        <f>IF(DATA!$B$106="",0,DATA!$B$106)</f>
      </c>
      <c r="E257" s="263" t="str">
        <f>Vertaling!$B$147</f>
      </c>
      <c r="F257" s="279">
        <f>IF(DATA!$B$148="",0,DATA!$B$148)</f>
      </c>
      <c r="G257" s="353"/>
      <c r="H257" s="246"/>
      <c r="I257" s="246"/>
      <c r="J257" s="246"/>
      <c r="K257" s="246"/>
      <c r="L257" s="246"/>
      <c r="M257" s="246"/>
      <c r="N257" s="246"/>
      <c r="O257" s="246"/>
      <c r="P257" s="246"/>
      <c r="Q257" s="246"/>
      <c r="R257" s="246"/>
      <c r="S257" s="246"/>
      <c r="T257" s="246"/>
      <c r="U257" s="246"/>
      <c r="V257" s="246"/>
      <c r="W257" s="246"/>
      <c r="X257" s="246"/>
      <c r="Y257" s="246"/>
      <c r="Z257" s="246"/>
      <c r="AA257" s="246"/>
      <c r="AB257" s="246"/>
      <c r="AC257" s="246"/>
      <c r="AD257" s="246"/>
      <c r="AE257" s="246"/>
      <c r="AF257" s="246"/>
      <c r="AG257" s="246"/>
      <c r="AH257" s="246"/>
      <c r="AI257" s="246"/>
      <c r="AJ257" s="246"/>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353"/>
      <c r="BL257" s="353"/>
      <c r="BM257" s="353"/>
    </row>
    <row r="258" spans="1:65" customFormat="1" ht="7.5" customHeight="1">
      <c r="A258" s="236"/>
      <c r="B258" s="353"/>
      <c r="C258" s="263"/>
      <c r="D258" s="235"/>
      <c r="E258" s="263"/>
      <c r="F258" s="235"/>
      <c r="G258" s="237"/>
      <c r="H258" s="240"/>
      <c r="I258" s="240"/>
      <c r="J258" s="240"/>
      <c r="K258" s="240"/>
      <c r="L258" s="240"/>
      <c r="M258" s="240"/>
      <c r="N258" s="240"/>
      <c r="O258" s="240"/>
      <c r="P258" s="240"/>
      <c r="Q258" s="240"/>
      <c r="R258" s="240"/>
      <c r="S258" s="240"/>
      <c r="T258" s="240"/>
      <c r="U258" s="240"/>
      <c r="V258" s="240"/>
      <c r="W258" s="240"/>
      <c r="X258" s="240"/>
      <c r="Y258" s="240"/>
      <c r="Z258" s="240"/>
      <c r="AA258" s="240"/>
      <c r="AB258" s="240"/>
      <c r="AC258" s="240"/>
      <c r="AD258" s="240"/>
      <c r="AE258" s="240"/>
      <c r="AF258" s="240"/>
      <c r="AG258" s="240"/>
      <c r="AH258" s="240"/>
      <c r="AI258" s="240"/>
      <c r="AJ258" s="240"/>
      <c r="AK258" s="13"/>
      <c r="AL258" s="13"/>
      <c r="AM258" s="13"/>
      <c r="AN258" s="13"/>
      <c r="AO258" s="13"/>
      <c r="AP258" s="13"/>
      <c r="AQ258" s="13"/>
      <c r="AR258" s="13"/>
      <c r="AS258" s="13"/>
      <c r="AT258" s="13"/>
      <c r="AU258" s="13"/>
      <c r="AV258" s="13"/>
      <c r="AW258" s="13"/>
      <c r="AX258" s="14"/>
      <c r="AY258" s="14"/>
      <c r="AZ258" s="14"/>
      <c r="BA258" s="14"/>
      <c r="BB258" s="14"/>
      <c r="BC258" s="14"/>
      <c r="BD258" s="14"/>
      <c r="BE258" s="14"/>
      <c r="BF258" s="14"/>
      <c r="BG258" s="14"/>
      <c r="BH258" s="14"/>
      <c r="BI258" s="14"/>
      <c r="BJ258" s="14"/>
    </row>
    <row r="259" spans="1:65" s="1" customFormat="1" ht="12.75">
      <c r="A259" s="91" t="s">
        <v>4</v>
      </c>
      <c r="B259" s="353" t="str">
        <f>Vertaling!B125</f>
      </c>
      <c r="C259" s="263" t="str">
        <f>Vertaling!$B$147</f>
      </c>
      <c r="D259" s="279">
        <f>IF(DATA!$B$107="",0,DATA!$B$107)</f>
      </c>
      <c r="E259" s="263" t="str">
        <f>Vertaling!$B$147</f>
      </c>
      <c r="F259" s="279">
        <f>IF(DATA!$B$149="",0,DATA!$B$149)</f>
      </c>
      <c r="G259" s="353"/>
      <c r="H259" s="246"/>
      <c r="I259" s="246"/>
      <c r="J259" s="246"/>
      <c r="K259" s="246"/>
      <c r="L259" s="246"/>
      <c r="M259" s="246"/>
      <c r="N259" s="246"/>
      <c r="O259" s="246"/>
      <c r="P259" s="246"/>
      <c r="Q259" s="246"/>
      <c r="R259" s="246"/>
      <c r="S259" s="246"/>
      <c r="T259" s="246"/>
      <c r="U259" s="246"/>
      <c r="V259" s="246"/>
      <c r="W259" s="246"/>
      <c r="X259" s="246"/>
      <c r="Y259" s="246"/>
      <c r="Z259" s="246"/>
      <c r="AA259" s="246"/>
      <c r="AB259" s="246"/>
      <c r="AC259" s="246"/>
      <c r="AD259" s="246"/>
      <c r="AE259" s="246"/>
      <c r="AF259" s="246"/>
      <c r="AG259" s="246"/>
      <c r="AH259" s="246"/>
      <c r="AI259" s="246"/>
      <c r="AJ259" s="246"/>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353"/>
      <c r="BL259" s="353"/>
      <c r="BM259" s="353"/>
    </row>
    <row r="260" spans="1:65" customFormat="1" ht="7.5" customHeight="1">
      <c r="A260" s="236"/>
      <c r="B260" s="353"/>
      <c r="C260" s="263"/>
      <c r="D260" s="235"/>
      <c r="E260" s="263"/>
      <c r="F260" s="235"/>
      <c r="G260" s="237"/>
      <c r="H260" s="240"/>
      <c r="I260" s="240"/>
      <c r="J260" s="240"/>
      <c r="K260" s="240"/>
      <c r="L260" s="240"/>
      <c r="M260" s="240"/>
      <c r="N260" s="240"/>
      <c r="O260" s="240"/>
      <c r="P260" s="240"/>
      <c r="Q260" s="240"/>
      <c r="R260" s="240"/>
      <c r="S260" s="240"/>
      <c r="T260" s="240"/>
      <c r="U260" s="240"/>
      <c r="V260" s="240"/>
      <c r="W260" s="240"/>
      <c r="X260" s="240"/>
      <c r="Y260" s="240"/>
      <c r="Z260" s="240"/>
      <c r="AA260" s="240"/>
      <c r="AB260" s="240"/>
      <c r="AC260" s="240"/>
      <c r="AD260" s="240"/>
      <c r="AE260" s="240"/>
      <c r="AF260" s="240"/>
      <c r="AG260" s="240"/>
      <c r="AH260" s="240"/>
      <c r="AI260" s="240"/>
      <c r="AJ260" s="240"/>
      <c r="AK260" s="13"/>
      <c r="AL260" s="13"/>
      <c r="AM260" s="13"/>
      <c r="AN260" s="13"/>
      <c r="AO260" s="13"/>
      <c r="AP260" s="13"/>
      <c r="AQ260" s="13"/>
      <c r="AR260" s="13"/>
      <c r="AS260" s="13"/>
      <c r="AT260" s="13"/>
      <c r="AU260" s="13"/>
      <c r="AV260" s="13"/>
      <c r="AW260" s="13"/>
      <c r="AX260" s="14"/>
      <c r="AY260" s="14"/>
      <c r="AZ260" s="14"/>
      <c r="BA260" s="14"/>
      <c r="BB260" s="14"/>
      <c r="BC260" s="14"/>
      <c r="BD260" s="14"/>
      <c r="BE260" s="14"/>
      <c r="BF260" s="14"/>
      <c r="BG260" s="14"/>
      <c r="BH260" s="14"/>
      <c r="BI260" s="14"/>
      <c r="BJ260" s="14"/>
    </row>
    <row r="261" spans="1:65" s="1" customFormat="1" ht="12.75">
      <c r="A261" s="91" t="s">
        <v>4</v>
      </c>
      <c r="B261" s="353" t="str">
        <f>Vertaling!B126</f>
      </c>
      <c r="C261" s="263" t="str">
        <f>Vertaling!$B$147</f>
      </c>
      <c r="D261" s="279">
        <f>IF(DATA!$B$108="",0,DATA!$B$108)</f>
      </c>
      <c r="E261" s="263" t="str">
        <f>Vertaling!$B$147</f>
      </c>
      <c r="F261" s="279">
        <f>IF(DATA!$B$150="",0,DATA!$B$150)</f>
      </c>
      <c r="G261" s="353"/>
      <c r="H261" s="246"/>
      <c r="I261" s="246"/>
      <c r="J261" s="246"/>
      <c r="K261" s="246"/>
      <c r="L261" s="246"/>
      <c r="M261" s="246"/>
      <c r="N261" s="246"/>
      <c r="O261" s="246"/>
      <c r="P261" s="246"/>
      <c r="Q261" s="246"/>
      <c r="R261" s="246"/>
      <c r="S261" s="246"/>
      <c r="T261" s="246"/>
      <c r="U261" s="246"/>
      <c r="V261" s="246"/>
      <c r="W261" s="246"/>
      <c r="X261" s="246"/>
      <c r="Y261" s="246"/>
      <c r="Z261" s="246"/>
      <c r="AA261" s="246"/>
      <c r="AB261" s="246"/>
      <c r="AC261" s="246"/>
      <c r="AD261" s="246"/>
      <c r="AE261" s="246"/>
      <c r="AF261" s="246"/>
      <c r="AG261" s="246"/>
      <c r="AH261" s="246"/>
      <c r="AI261" s="246"/>
      <c r="AJ261" s="246"/>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353"/>
      <c r="BL261" s="353"/>
      <c r="BM261" s="353"/>
    </row>
    <row r="262" spans="1:65" customFormat="1" ht="7.5" customHeight="1">
      <c r="A262" s="236"/>
      <c r="B262" s="353"/>
      <c r="C262" s="263"/>
      <c r="D262" s="235"/>
      <c r="E262" s="263"/>
      <c r="F262" s="235"/>
      <c r="G262" s="237"/>
      <c r="H262" s="240"/>
      <c r="I262" s="240"/>
      <c r="J262" s="240"/>
      <c r="K262" s="240"/>
      <c r="L262" s="240"/>
      <c r="M262" s="240"/>
      <c r="N262" s="240"/>
      <c r="O262" s="240"/>
      <c r="P262" s="240"/>
      <c r="Q262" s="240"/>
      <c r="R262" s="240"/>
      <c r="S262" s="240"/>
      <c r="T262" s="240"/>
      <c r="U262" s="240"/>
      <c r="V262" s="240"/>
      <c r="W262" s="240"/>
      <c r="X262" s="240"/>
      <c r="Y262" s="240"/>
      <c r="Z262" s="240"/>
      <c r="AA262" s="240"/>
      <c r="AB262" s="240"/>
      <c r="AC262" s="240"/>
      <c r="AD262" s="240"/>
      <c r="AE262" s="240"/>
      <c r="AF262" s="240"/>
      <c r="AG262" s="240"/>
      <c r="AH262" s="240"/>
      <c r="AI262" s="240"/>
      <c r="AJ262" s="240"/>
      <c r="AK262" s="13"/>
      <c r="AL262" s="13"/>
      <c r="AM262" s="13"/>
      <c r="AN262" s="13"/>
      <c r="AO262" s="13"/>
      <c r="AP262" s="13"/>
      <c r="AQ262" s="13"/>
      <c r="AR262" s="13"/>
      <c r="AS262" s="13"/>
      <c r="AT262" s="13"/>
      <c r="AU262" s="13"/>
      <c r="AV262" s="13"/>
      <c r="AW262" s="13"/>
      <c r="AX262" s="14"/>
      <c r="AY262" s="14"/>
      <c r="AZ262" s="14"/>
      <c r="BA262" s="14"/>
      <c r="BB262" s="14"/>
      <c r="BC262" s="14"/>
      <c r="BD262" s="14"/>
      <c r="BE262" s="14"/>
      <c r="BF262" s="14"/>
      <c r="BG262" s="14"/>
      <c r="BH262" s="14"/>
      <c r="BI262" s="14"/>
      <c r="BJ262" s="14"/>
    </row>
    <row r="263" spans="1:65" s="1" customFormat="1" ht="12.75">
      <c r="A263" s="91" t="s">
        <v>4</v>
      </c>
      <c r="B263" s="353" t="str">
        <f>Vertaling!B127</f>
      </c>
      <c r="C263" s="263" t="str">
        <f>Vertaling!$B$147</f>
      </c>
      <c r="D263" s="279">
        <f>IF(DATA!$B$109="",0,DATA!$B$109)</f>
      </c>
      <c r="E263" s="263" t="str">
        <f>Vertaling!$B$147</f>
      </c>
      <c r="F263" s="279">
        <f>IF(DATA!$B$151="",0,DATA!$B$151)</f>
      </c>
      <c r="G263" s="353"/>
      <c r="H263" s="246"/>
      <c r="I263" s="246"/>
      <c r="J263" s="246"/>
      <c r="K263" s="246"/>
      <c r="L263" s="246"/>
      <c r="M263" s="246"/>
      <c r="N263" s="246"/>
      <c r="O263" s="246"/>
      <c r="P263" s="246"/>
      <c r="Q263" s="246"/>
      <c r="R263" s="246"/>
      <c r="S263" s="246"/>
      <c r="T263" s="246"/>
      <c r="U263" s="246"/>
      <c r="V263" s="246"/>
      <c r="W263" s="246"/>
      <c r="X263" s="246"/>
      <c r="Y263" s="246"/>
      <c r="Z263" s="246"/>
      <c r="AA263" s="246"/>
      <c r="AB263" s="246"/>
      <c r="AC263" s="246"/>
      <c r="AD263" s="246"/>
      <c r="AE263" s="246"/>
      <c r="AF263" s="246"/>
      <c r="AG263" s="246"/>
      <c r="AH263" s="246"/>
      <c r="AI263" s="246"/>
      <c r="AJ263" s="246"/>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353"/>
      <c r="BL263" s="353"/>
      <c r="BM263" s="353"/>
    </row>
    <row r="264" spans="1:65" customFormat="1" ht="7.5" customHeight="1">
      <c r="A264" s="236"/>
      <c r="B264" s="353"/>
      <c r="C264" s="263"/>
      <c r="D264" s="235"/>
      <c r="E264" s="263"/>
      <c r="F264" s="235"/>
      <c r="G264" s="237"/>
      <c r="H264" s="240"/>
      <c r="I264" s="240"/>
      <c r="J264" s="240"/>
      <c r="K264" s="240"/>
      <c r="L264" s="240"/>
      <c r="M264" s="240"/>
      <c r="N264" s="240"/>
      <c r="O264" s="240"/>
      <c r="P264" s="240"/>
      <c r="Q264" s="240"/>
      <c r="R264" s="240"/>
      <c r="S264" s="240"/>
      <c r="T264" s="240"/>
      <c r="U264" s="240"/>
      <c r="V264" s="240"/>
      <c r="W264" s="240"/>
      <c r="X264" s="240"/>
      <c r="Y264" s="240"/>
      <c r="Z264" s="240"/>
      <c r="AA264" s="240"/>
      <c r="AB264" s="240"/>
      <c r="AC264" s="240"/>
      <c r="AD264" s="240"/>
      <c r="AE264" s="240"/>
      <c r="AF264" s="240"/>
      <c r="AG264" s="240"/>
      <c r="AH264" s="240"/>
      <c r="AI264" s="240"/>
      <c r="AJ264" s="240"/>
      <c r="AK264" s="13"/>
      <c r="AL264" s="13"/>
      <c r="AM264" s="13"/>
      <c r="AN264" s="13"/>
      <c r="AO264" s="13"/>
      <c r="AP264" s="13"/>
      <c r="AQ264" s="13"/>
      <c r="AR264" s="13"/>
      <c r="AS264" s="13"/>
      <c r="AT264" s="13"/>
      <c r="AU264" s="13"/>
      <c r="AV264" s="13"/>
      <c r="AW264" s="13"/>
      <c r="AX264" s="14"/>
      <c r="AY264" s="14"/>
      <c r="AZ264" s="14"/>
      <c r="BA264" s="14"/>
      <c r="BB264" s="14"/>
      <c r="BC264" s="14"/>
      <c r="BD264" s="14"/>
      <c r="BE264" s="14"/>
      <c r="BF264" s="14"/>
      <c r="BG264" s="14"/>
      <c r="BH264" s="14"/>
      <c r="BI264" s="14"/>
      <c r="BJ264" s="14"/>
    </row>
    <row r="265" spans="1:65" s="1" customFormat="1" ht="12.75">
      <c r="A265" s="91" t="s">
        <v>4</v>
      </c>
      <c r="B265" s="353" t="str">
        <f>Vertaling!B128</f>
      </c>
      <c r="C265" s="263" t="str">
        <f>Vertaling!$B$147</f>
      </c>
      <c r="D265" s="279">
        <f>IF(DATA!$B$110="",0,DATA!$B$110)</f>
      </c>
      <c r="E265" s="263" t="str">
        <f>Vertaling!$B$147</f>
      </c>
      <c r="F265" s="279">
        <f>IF(DATA!$B$152="",0,DATA!$B$152)</f>
      </c>
      <c r="G265" s="353"/>
      <c r="H265" s="246"/>
      <c r="I265" s="246"/>
      <c r="J265" s="246"/>
      <c r="K265" s="246"/>
      <c r="L265" s="246"/>
      <c r="M265" s="246"/>
      <c r="N265" s="246"/>
      <c r="O265" s="246"/>
      <c r="P265" s="246"/>
      <c r="Q265" s="246"/>
      <c r="R265" s="246"/>
      <c r="S265" s="246"/>
      <c r="T265" s="246"/>
      <c r="U265" s="246"/>
      <c r="V265" s="246"/>
      <c r="W265" s="246"/>
      <c r="X265" s="246"/>
      <c r="Y265" s="246"/>
      <c r="Z265" s="246"/>
      <c r="AA265" s="246"/>
      <c r="AB265" s="246"/>
      <c r="AC265" s="246"/>
      <c r="AD265" s="246"/>
      <c r="AE265" s="246"/>
      <c r="AF265" s="246"/>
      <c r="AG265" s="246"/>
      <c r="AH265" s="246"/>
      <c r="AI265" s="246"/>
      <c r="AJ265" s="246"/>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353"/>
      <c r="BL265" s="353"/>
      <c r="BM265" s="353"/>
    </row>
    <row r="266" spans="1:65" customFormat="1" ht="7.5" customHeight="1">
      <c r="A266" s="236"/>
      <c r="B266" s="353"/>
      <c r="C266" s="263"/>
      <c r="D266" s="235"/>
      <c r="E266" s="263"/>
      <c r="F266" s="235"/>
      <c r="G266" s="237"/>
      <c r="H266" s="240"/>
      <c r="I266" s="240"/>
      <c r="J266" s="240"/>
      <c r="K266" s="240"/>
      <c r="L266" s="240"/>
      <c r="M266" s="240"/>
      <c r="N266" s="240"/>
      <c r="O266" s="240"/>
      <c r="P266" s="240"/>
      <c r="Q266" s="240"/>
      <c r="R266" s="240"/>
      <c r="S266" s="240"/>
      <c r="T266" s="240"/>
      <c r="U266" s="240"/>
      <c r="V266" s="240"/>
      <c r="W266" s="240"/>
      <c r="X266" s="240"/>
      <c r="Y266" s="240"/>
      <c r="Z266" s="240"/>
      <c r="AA266" s="240"/>
      <c r="AB266" s="240"/>
      <c r="AC266" s="240"/>
      <c r="AD266" s="240"/>
      <c r="AE266" s="240"/>
      <c r="AF266" s="240"/>
      <c r="AG266" s="240"/>
      <c r="AH266" s="240"/>
      <c r="AI266" s="240"/>
      <c r="AJ266" s="240"/>
      <c r="AK266" s="13"/>
      <c r="AL266" s="13"/>
      <c r="AM266" s="13"/>
      <c r="AN266" s="13"/>
      <c r="AO266" s="13"/>
      <c r="AP266" s="13"/>
      <c r="AQ266" s="13"/>
      <c r="AR266" s="13"/>
      <c r="AS266" s="13"/>
      <c r="AT266" s="13"/>
      <c r="AU266" s="13"/>
      <c r="AV266" s="13"/>
      <c r="AW266" s="13"/>
      <c r="AX266" s="14"/>
      <c r="AY266" s="14"/>
      <c r="AZ266" s="14"/>
      <c r="BA266" s="14"/>
      <c r="BB266" s="14"/>
      <c r="BC266" s="14"/>
      <c r="BD266" s="14"/>
      <c r="BE266" s="14"/>
      <c r="BF266" s="14"/>
      <c r="BG266" s="14"/>
      <c r="BH266" s="14"/>
      <c r="BI266" s="14"/>
      <c r="BJ266" s="14"/>
    </row>
    <row r="267" spans="1:65" s="1" customFormat="1" ht="12.75">
      <c r="A267" s="91" t="s">
        <v>4</v>
      </c>
      <c r="B267" s="353" t="str">
        <f>Vertaling!B129</f>
      </c>
      <c r="C267" s="263" t="str">
        <f>Vertaling!$B$147</f>
      </c>
      <c r="D267" s="279">
        <f>IF(DATA!$B$111="",0,DATA!$B$111)</f>
      </c>
      <c r="E267" s="263" t="str">
        <f>Vertaling!$B$147</f>
      </c>
      <c r="F267" s="279">
        <f>IF(DATA!$B$153="",0,DATA!$B$153)</f>
      </c>
      <c r="G267" s="353"/>
      <c r="H267" s="246"/>
      <c r="I267" s="246"/>
      <c r="J267" s="246"/>
      <c r="K267" s="246"/>
      <c r="L267" s="246"/>
      <c r="M267" s="246"/>
      <c r="N267" s="246"/>
      <c r="O267" s="246"/>
      <c r="P267" s="246"/>
      <c r="Q267" s="246"/>
      <c r="R267" s="246"/>
      <c r="S267" s="246"/>
      <c r="T267" s="246"/>
      <c r="U267" s="246"/>
      <c r="V267" s="246"/>
      <c r="W267" s="246"/>
      <c r="X267" s="246"/>
      <c r="Y267" s="246"/>
      <c r="Z267" s="246"/>
      <c r="AA267" s="246"/>
      <c r="AB267" s="246"/>
      <c r="AC267" s="246"/>
      <c r="AD267" s="246"/>
      <c r="AE267" s="246"/>
      <c r="AF267" s="246"/>
      <c r="AG267" s="246"/>
      <c r="AH267" s="246"/>
      <c r="AI267" s="246"/>
      <c r="AJ267" s="246"/>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353"/>
      <c r="BL267" s="353"/>
      <c r="BM267" s="353"/>
    </row>
    <row r="268" spans="1:65" customFormat="1" ht="7.5" customHeight="1">
      <c r="A268" s="236"/>
      <c r="B268" s="353"/>
      <c r="C268" s="263"/>
      <c r="D268" s="235"/>
      <c r="E268" s="263"/>
      <c r="F268" s="235"/>
      <c r="G268" s="237"/>
      <c r="H268" s="240"/>
      <c r="I268" s="240"/>
      <c r="J268" s="240"/>
      <c r="K268" s="240"/>
      <c r="L268" s="240"/>
      <c r="M268" s="240"/>
      <c r="N268" s="240"/>
      <c r="O268" s="240"/>
      <c r="P268" s="240"/>
      <c r="Q268" s="240"/>
      <c r="R268" s="240"/>
      <c r="S268" s="240"/>
      <c r="T268" s="240"/>
      <c r="U268" s="240"/>
      <c r="V268" s="240"/>
      <c r="W268" s="240"/>
      <c r="X268" s="240"/>
      <c r="Y268" s="240"/>
      <c r="Z268" s="240"/>
      <c r="AA268" s="240"/>
      <c r="AB268" s="240"/>
      <c r="AC268" s="240"/>
      <c r="AD268" s="240"/>
      <c r="AE268" s="240"/>
      <c r="AF268" s="240"/>
      <c r="AG268" s="240"/>
      <c r="AH268" s="240"/>
      <c r="AI268" s="240"/>
      <c r="AJ268" s="240"/>
      <c r="AK268" s="13"/>
      <c r="AL268" s="13"/>
      <c r="AM268" s="13"/>
      <c r="AN268" s="13"/>
      <c r="AO268" s="13"/>
      <c r="AP268" s="13"/>
      <c r="AQ268" s="13"/>
      <c r="AR268" s="13"/>
      <c r="AS268" s="13"/>
      <c r="AT268" s="13"/>
      <c r="AU268" s="13"/>
      <c r="AV268" s="13"/>
      <c r="AW268" s="13"/>
      <c r="AX268" s="14"/>
      <c r="AY268" s="14"/>
      <c r="AZ268" s="14"/>
      <c r="BA268" s="14"/>
      <c r="BB268" s="14"/>
      <c r="BC268" s="14"/>
      <c r="BD268" s="14"/>
      <c r="BE268" s="14"/>
      <c r="BF268" s="14"/>
      <c r="BG268" s="14"/>
      <c r="BH268" s="14"/>
      <c r="BI268" s="14"/>
      <c r="BJ268" s="14"/>
    </row>
    <row r="269" spans="1:65" s="1" customFormat="1" ht="12.75">
      <c r="A269" s="91" t="s">
        <v>4</v>
      </c>
      <c r="B269" s="353" t="str">
        <f>Vertaling!B130</f>
      </c>
      <c r="C269" s="263" t="str">
        <f>Vertaling!$B$147</f>
      </c>
      <c r="D269" s="279">
        <f>IF(DATA!$B$112="",0,DATA!$B$112)</f>
      </c>
      <c r="E269" s="263" t="str">
        <f>Vertaling!$B$147</f>
      </c>
      <c r="F269" s="279">
        <f>IF(DATA!$B$154="",0,DATA!$B$154)</f>
      </c>
      <c r="G269" s="353"/>
      <c r="H269" s="246"/>
      <c r="I269" s="246"/>
      <c r="J269" s="246"/>
      <c r="K269" s="246"/>
      <c r="L269" s="246"/>
      <c r="M269" s="246"/>
      <c r="N269" s="246"/>
      <c r="O269" s="246"/>
      <c r="P269" s="246"/>
      <c r="Q269" s="246"/>
      <c r="R269" s="246"/>
      <c r="S269" s="246"/>
      <c r="T269" s="246"/>
      <c r="U269" s="246"/>
      <c r="V269" s="246"/>
      <c r="W269" s="246"/>
      <c r="X269" s="246"/>
      <c r="Y269" s="246"/>
      <c r="Z269" s="246"/>
      <c r="AA269" s="246"/>
      <c r="AB269" s="246"/>
      <c r="AC269" s="246"/>
      <c r="AD269" s="246"/>
      <c r="AE269" s="246"/>
      <c r="AF269" s="246"/>
      <c r="AG269" s="246"/>
      <c r="AH269" s="246"/>
      <c r="AI269" s="246"/>
      <c r="AJ269" s="246"/>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353"/>
      <c r="BL269" s="353"/>
      <c r="BM269" s="353"/>
    </row>
    <row r="270" spans="1:65" customFormat="1" ht="7.5" customHeight="1">
      <c r="A270" s="236"/>
      <c r="B270" s="353"/>
      <c r="C270" s="263"/>
      <c r="D270" s="235"/>
      <c r="E270" s="263"/>
      <c r="F270" s="235"/>
      <c r="G270" s="237"/>
      <c r="H270" s="240"/>
      <c r="I270" s="240"/>
      <c r="J270" s="240"/>
      <c r="K270" s="240"/>
      <c r="L270" s="240"/>
      <c r="M270" s="240"/>
      <c r="N270" s="240"/>
      <c r="O270" s="240"/>
      <c r="P270" s="240"/>
      <c r="Q270" s="240"/>
      <c r="R270" s="240"/>
      <c r="S270" s="240"/>
      <c r="T270" s="240"/>
      <c r="U270" s="240"/>
      <c r="V270" s="240"/>
      <c r="W270" s="240"/>
      <c r="X270" s="240"/>
      <c r="Y270" s="240"/>
      <c r="Z270" s="240"/>
      <c r="AA270" s="240"/>
      <c r="AB270" s="240"/>
      <c r="AC270" s="240"/>
      <c r="AD270" s="240"/>
      <c r="AE270" s="240"/>
      <c r="AF270" s="240"/>
      <c r="AG270" s="240"/>
      <c r="AH270" s="240"/>
      <c r="AI270" s="240"/>
      <c r="AJ270" s="240"/>
      <c r="AK270" s="13"/>
      <c r="AL270" s="13"/>
      <c r="AM270" s="13"/>
      <c r="AN270" s="13"/>
      <c r="AO270" s="13"/>
      <c r="AP270" s="13"/>
      <c r="AQ270" s="13"/>
      <c r="AR270" s="13"/>
      <c r="AS270" s="13"/>
      <c r="AT270" s="13"/>
      <c r="AU270" s="13"/>
      <c r="AV270" s="13"/>
      <c r="AW270" s="13"/>
      <c r="AX270" s="14"/>
      <c r="AY270" s="14"/>
      <c r="AZ270" s="14"/>
      <c r="BA270" s="14"/>
      <c r="BB270" s="14"/>
      <c r="BC270" s="14"/>
      <c r="BD270" s="14"/>
      <c r="BE270" s="14"/>
      <c r="BF270" s="14"/>
      <c r="BG270" s="14"/>
      <c r="BH270" s="14"/>
      <c r="BI270" s="14"/>
      <c r="BJ270" s="14"/>
    </row>
    <row r="271" spans="1:65" s="1" customFormat="1" ht="12.75">
      <c r="A271" s="91" t="s">
        <v>4</v>
      </c>
      <c r="B271" s="353" t="str">
        <f>Vertaling!B131</f>
      </c>
      <c r="C271" s="263" t="str">
        <f>Vertaling!$B$147</f>
      </c>
      <c r="D271" s="279">
        <f>IF(DATA!$B$113="",0,DATA!$B$113)</f>
      </c>
      <c r="E271" s="263" t="str">
        <f>Vertaling!$B$147</f>
      </c>
      <c r="F271" s="279">
        <f>IF(DATA!$B$155="",0,DATA!$B$155)</f>
      </c>
      <c r="G271" s="353"/>
      <c r="H271" s="246"/>
      <c r="I271" s="246"/>
      <c r="J271" s="246"/>
      <c r="K271" s="246"/>
      <c r="L271" s="246"/>
      <c r="M271" s="246"/>
      <c r="N271" s="246"/>
      <c r="O271" s="246"/>
      <c r="P271" s="246"/>
      <c r="Q271" s="246"/>
      <c r="R271" s="246"/>
      <c r="S271" s="246"/>
      <c r="T271" s="246"/>
      <c r="U271" s="246"/>
      <c r="V271" s="246"/>
      <c r="W271" s="246"/>
      <c r="X271" s="246"/>
      <c r="Y271" s="246"/>
      <c r="Z271" s="246"/>
      <c r="AA271" s="246"/>
      <c r="AB271" s="246"/>
      <c r="AC271" s="246"/>
      <c r="AD271" s="246"/>
      <c r="AE271" s="246"/>
      <c r="AF271" s="246"/>
      <c r="AG271" s="246"/>
      <c r="AH271" s="246"/>
      <c r="AI271" s="246"/>
      <c r="AJ271" s="246"/>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353"/>
      <c r="BL271" s="353"/>
      <c r="BM271" s="353"/>
    </row>
    <row r="272" spans="1:65" customFormat="1" ht="7.5" customHeight="1">
      <c r="A272" s="236"/>
      <c r="B272" s="353"/>
      <c r="C272" s="263"/>
      <c r="D272" s="235"/>
      <c r="E272" s="263"/>
      <c r="F272" s="235"/>
      <c r="G272" s="237"/>
      <c r="H272" s="240"/>
      <c r="I272" s="240"/>
      <c r="J272" s="240"/>
      <c r="K272" s="240"/>
      <c r="L272" s="240"/>
      <c r="M272" s="240"/>
      <c r="N272" s="240"/>
      <c r="O272" s="240"/>
      <c r="P272" s="240"/>
      <c r="Q272" s="240"/>
      <c r="R272" s="240"/>
      <c r="S272" s="240"/>
      <c r="T272" s="240"/>
      <c r="U272" s="240"/>
      <c r="V272" s="240"/>
      <c r="W272" s="240"/>
      <c r="X272" s="240"/>
      <c r="Y272" s="240"/>
      <c r="Z272" s="240"/>
      <c r="AA272" s="240"/>
      <c r="AB272" s="240"/>
      <c r="AC272" s="240"/>
      <c r="AD272" s="240"/>
      <c r="AE272" s="240"/>
      <c r="AF272" s="240"/>
      <c r="AG272" s="240"/>
      <c r="AH272" s="240"/>
      <c r="AI272" s="240"/>
      <c r="AJ272" s="240"/>
      <c r="AK272" s="13"/>
      <c r="AL272" s="13"/>
      <c r="AM272" s="13"/>
      <c r="AN272" s="13"/>
      <c r="AO272" s="13"/>
      <c r="AP272" s="13"/>
      <c r="AQ272" s="13"/>
      <c r="AR272" s="13"/>
      <c r="AS272" s="13"/>
      <c r="AT272" s="13"/>
      <c r="AU272" s="13"/>
      <c r="AV272" s="13"/>
      <c r="AW272" s="13"/>
      <c r="AX272" s="14"/>
      <c r="AY272" s="14"/>
      <c r="AZ272" s="14"/>
      <c r="BA272" s="14"/>
      <c r="BB272" s="14"/>
      <c r="BC272" s="14"/>
      <c r="BD272" s="14"/>
      <c r="BE272" s="14"/>
      <c r="BF272" s="14"/>
      <c r="BG272" s="14"/>
      <c r="BH272" s="14"/>
      <c r="BI272" s="14"/>
      <c r="BJ272" s="14"/>
    </row>
    <row r="273" spans="1:65" s="1" customFormat="1" ht="12.75">
      <c r="A273" s="91" t="s">
        <v>4</v>
      </c>
      <c r="B273" s="353" t="str">
        <f>Vertaling!B132</f>
      </c>
      <c r="C273" s="263" t="str">
        <f>Vertaling!$B$147</f>
      </c>
      <c r="D273" s="279">
        <f>IF(DATA!$B$114="",0,DATA!$B$114)</f>
      </c>
      <c r="E273" s="263" t="str">
        <f>Vertaling!$B$147</f>
      </c>
      <c r="F273" s="279">
        <f>IF(DATA!$B$156="",0,DATA!$B$156)</f>
      </c>
      <c r="G273" s="353"/>
      <c r="H273" s="246"/>
      <c r="I273" s="246"/>
      <c r="J273" s="246"/>
      <c r="K273" s="246"/>
      <c r="L273" s="246"/>
      <c r="M273" s="246"/>
      <c r="N273" s="246"/>
      <c r="O273" s="246"/>
      <c r="P273" s="246"/>
      <c r="Q273" s="246"/>
      <c r="R273" s="246"/>
      <c r="S273" s="246"/>
      <c r="T273" s="246"/>
      <c r="U273" s="246"/>
      <c r="V273" s="246"/>
      <c r="W273" s="246"/>
      <c r="X273" s="246"/>
      <c r="Y273" s="246"/>
      <c r="Z273" s="246"/>
      <c r="AA273" s="246"/>
      <c r="AB273" s="246"/>
      <c r="AC273" s="246"/>
      <c r="AD273" s="246"/>
      <c r="AE273" s="246"/>
      <c r="AF273" s="246"/>
      <c r="AG273" s="246"/>
      <c r="AH273" s="246"/>
      <c r="AI273" s="246"/>
      <c r="AJ273" s="246"/>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353"/>
      <c r="BL273" s="353"/>
      <c r="BM273" s="353"/>
    </row>
    <row r="274" spans="1:65" customFormat="1" ht="7.5" customHeight="1">
      <c r="A274" s="236"/>
      <c r="B274" s="353"/>
      <c r="C274" s="263"/>
      <c r="D274" s="235"/>
      <c r="E274" s="263"/>
      <c r="F274" s="235"/>
      <c r="G274" s="237"/>
      <c r="H274" s="240"/>
      <c r="I274" s="240"/>
      <c r="J274" s="240"/>
      <c r="K274" s="240"/>
      <c r="L274" s="240"/>
      <c r="M274" s="240"/>
      <c r="N274" s="240"/>
      <c r="O274" s="240"/>
      <c r="P274" s="240"/>
      <c r="Q274" s="240"/>
      <c r="R274" s="240"/>
      <c r="S274" s="240"/>
      <c r="T274" s="240"/>
      <c r="U274" s="240"/>
      <c r="V274" s="240"/>
      <c r="W274" s="240"/>
      <c r="X274" s="240"/>
      <c r="Y274" s="240"/>
      <c r="Z274" s="240"/>
      <c r="AA274" s="240"/>
      <c r="AB274" s="240"/>
      <c r="AC274" s="240"/>
      <c r="AD274" s="240"/>
      <c r="AE274" s="240"/>
      <c r="AF274" s="240"/>
      <c r="AG274" s="240"/>
      <c r="AH274" s="240"/>
      <c r="AI274" s="240"/>
      <c r="AJ274" s="240"/>
      <c r="AK274" s="13"/>
      <c r="AL274" s="13"/>
      <c r="AM274" s="13"/>
      <c r="AN274" s="13"/>
      <c r="AO274" s="13"/>
      <c r="AP274" s="13"/>
      <c r="AQ274" s="13"/>
      <c r="AR274" s="13"/>
      <c r="AS274" s="13"/>
      <c r="AT274" s="13"/>
      <c r="AU274" s="13"/>
      <c r="AV274" s="13"/>
      <c r="AW274" s="13"/>
      <c r="AX274" s="14"/>
      <c r="AY274" s="14"/>
      <c r="AZ274" s="14"/>
      <c r="BA274" s="14"/>
      <c r="BB274" s="14"/>
      <c r="BC274" s="14"/>
      <c r="BD274" s="14"/>
      <c r="BE274" s="14"/>
      <c r="BF274" s="14"/>
      <c r="BG274" s="14"/>
      <c r="BH274" s="14"/>
      <c r="BI274" s="14"/>
      <c r="BJ274" s="14"/>
    </row>
    <row r="275" spans="1:65" s="1" customFormat="1" ht="12.75">
      <c r="A275" s="91" t="s">
        <v>4</v>
      </c>
      <c r="B275" s="353" t="str">
        <f>Vertaling!B133</f>
      </c>
      <c r="C275" s="263" t="str">
        <f>Vertaling!$B$147</f>
      </c>
      <c r="D275" s="279">
        <f>IF(DATA!$B$115="",0,DATA!$B$115)</f>
      </c>
      <c r="E275" s="263" t="str">
        <f>Vertaling!$B$147</f>
      </c>
      <c r="F275" s="279">
        <f>IF(DATA!$B$157="",0,DATA!$B$157)</f>
      </c>
      <c r="G275" s="353"/>
      <c r="H275" s="246"/>
      <c r="I275" s="246"/>
      <c r="J275" s="246"/>
      <c r="K275" s="246"/>
      <c r="L275" s="246"/>
      <c r="M275" s="246"/>
      <c r="N275" s="246"/>
      <c r="O275" s="246"/>
      <c r="P275" s="246"/>
      <c r="Q275" s="246"/>
      <c r="R275" s="246"/>
      <c r="S275" s="246"/>
      <c r="T275" s="246"/>
      <c r="U275" s="246"/>
      <c r="V275" s="246"/>
      <c r="W275" s="246"/>
      <c r="X275" s="246"/>
      <c r="Y275" s="246"/>
      <c r="Z275" s="246"/>
      <c r="AA275" s="246"/>
      <c r="AB275" s="246"/>
      <c r="AC275" s="246"/>
      <c r="AD275" s="246"/>
      <c r="AE275" s="246"/>
      <c r="AF275" s="246"/>
      <c r="AG275" s="246"/>
      <c r="AH275" s="246"/>
      <c r="AI275" s="246"/>
      <c r="AJ275" s="246"/>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353"/>
      <c r="BL275" s="353"/>
      <c r="BM275" s="353"/>
    </row>
    <row r="276" spans="1:65" customFormat="1" ht="7.5" customHeight="1">
      <c r="A276" s="236"/>
      <c r="B276" s="353"/>
      <c r="C276" s="263"/>
      <c r="D276" s="235"/>
      <c r="E276" s="263"/>
      <c r="F276" s="235"/>
      <c r="G276" s="237"/>
      <c r="H276" s="240"/>
      <c r="I276" s="240"/>
      <c r="J276" s="240"/>
      <c r="K276" s="240"/>
      <c r="L276" s="240"/>
      <c r="M276" s="240"/>
      <c r="N276" s="240"/>
      <c r="O276" s="240"/>
      <c r="P276" s="240"/>
      <c r="Q276" s="240"/>
      <c r="R276" s="240"/>
      <c r="S276" s="240"/>
      <c r="T276" s="240"/>
      <c r="U276" s="240"/>
      <c r="V276" s="240"/>
      <c r="W276" s="240"/>
      <c r="X276" s="240"/>
      <c r="Y276" s="240"/>
      <c r="Z276" s="240"/>
      <c r="AA276" s="240"/>
      <c r="AB276" s="240"/>
      <c r="AC276" s="240"/>
      <c r="AD276" s="240"/>
      <c r="AE276" s="240"/>
      <c r="AF276" s="240"/>
      <c r="AG276" s="240"/>
      <c r="AH276" s="240"/>
      <c r="AI276" s="240"/>
      <c r="AJ276" s="240"/>
      <c r="AK276" s="13"/>
      <c r="AL276" s="13"/>
      <c r="AM276" s="13"/>
      <c r="AN276" s="13"/>
      <c r="AO276" s="13"/>
      <c r="AP276" s="13"/>
      <c r="AQ276" s="13"/>
      <c r="AR276" s="13"/>
      <c r="AS276" s="13"/>
      <c r="AT276" s="13"/>
      <c r="AU276" s="13"/>
      <c r="AV276" s="13"/>
      <c r="AW276" s="13"/>
      <c r="AX276" s="14"/>
      <c r="AY276" s="14"/>
      <c r="AZ276" s="14"/>
      <c r="BA276" s="14"/>
      <c r="BB276" s="14"/>
      <c r="BC276" s="14"/>
      <c r="BD276" s="14"/>
      <c r="BE276" s="14"/>
      <c r="BF276" s="14"/>
      <c r="BG276" s="14"/>
      <c r="BH276" s="14"/>
      <c r="BI276" s="14"/>
      <c r="BJ276" s="14"/>
    </row>
    <row r="277" spans="1:65" s="1" customFormat="1" ht="12.75">
      <c r="A277" s="91" t="s">
        <v>4</v>
      </c>
      <c r="B277" s="353" t="str">
        <f>Vertaling!B134</f>
      </c>
      <c r="C277" s="263" t="str">
        <f>Vertaling!$B$147</f>
      </c>
      <c r="D277" s="279">
        <f>IF(DATA!$B$116="",0,DATA!$B$116)</f>
      </c>
      <c r="E277" s="263" t="str">
        <f>Vertaling!$B$147</f>
      </c>
      <c r="F277" s="279">
        <f>IF(DATA!$B$158="",0,DATA!$B$158)</f>
      </c>
      <c r="G277" s="353"/>
      <c r="H277" s="246"/>
      <c r="I277" s="246"/>
      <c r="J277" s="246"/>
      <c r="K277" s="246"/>
      <c r="L277" s="246"/>
      <c r="M277" s="246"/>
      <c r="N277" s="246"/>
      <c r="O277" s="246"/>
      <c r="P277" s="246"/>
      <c r="Q277" s="246"/>
      <c r="R277" s="246"/>
      <c r="S277" s="246"/>
      <c r="T277" s="246"/>
      <c r="U277" s="246"/>
      <c r="V277" s="246"/>
      <c r="W277" s="246"/>
      <c r="X277" s="246"/>
      <c r="Y277" s="246"/>
      <c r="Z277" s="246"/>
      <c r="AA277" s="246"/>
      <c r="AB277" s="246"/>
      <c r="AC277" s="246"/>
      <c r="AD277" s="246"/>
      <c r="AE277" s="246"/>
      <c r="AF277" s="246"/>
      <c r="AG277" s="246"/>
      <c r="AH277" s="246"/>
      <c r="AI277" s="246"/>
      <c r="AJ277" s="246"/>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353"/>
      <c r="BL277" s="353"/>
      <c r="BM277" s="353"/>
    </row>
    <row r="278" spans="1:65" customFormat="1" ht="7.5" customHeight="1">
      <c r="A278" s="236"/>
      <c r="B278" s="353"/>
      <c r="C278" s="263"/>
      <c r="D278" s="235"/>
      <c r="E278" s="263"/>
      <c r="F278" s="235"/>
      <c r="G278" s="237"/>
      <c r="H278" s="240"/>
      <c r="I278" s="240"/>
      <c r="J278" s="240"/>
      <c r="K278" s="240"/>
      <c r="L278" s="240"/>
      <c r="M278" s="240"/>
      <c r="N278" s="240"/>
      <c r="O278" s="240"/>
      <c r="P278" s="240"/>
      <c r="Q278" s="240"/>
      <c r="R278" s="240"/>
      <c r="S278" s="240"/>
      <c r="T278" s="240"/>
      <c r="U278" s="240"/>
      <c r="V278" s="240"/>
      <c r="W278" s="240"/>
      <c r="X278" s="240"/>
      <c r="Y278" s="240"/>
      <c r="Z278" s="240"/>
      <c r="AA278" s="240"/>
      <c r="AB278" s="240"/>
      <c r="AC278" s="240"/>
      <c r="AD278" s="240"/>
      <c r="AE278" s="240"/>
      <c r="AF278" s="240"/>
      <c r="AG278" s="240"/>
      <c r="AH278" s="240"/>
      <c r="AI278" s="240"/>
      <c r="AJ278" s="240"/>
      <c r="AK278" s="13"/>
      <c r="AL278" s="13"/>
      <c r="AM278" s="13"/>
      <c r="AN278" s="13"/>
      <c r="AO278" s="13"/>
      <c r="AP278" s="13"/>
      <c r="AQ278" s="13"/>
      <c r="AR278" s="13"/>
      <c r="AS278" s="13"/>
      <c r="AT278" s="13"/>
      <c r="AU278" s="13"/>
      <c r="AV278" s="13"/>
      <c r="AW278" s="13"/>
      <c r="AX278" s="14"/>
      <c r="AY278" s="14"/>
      <c r="AZ278" s="14"/>
      <c r="BA278" s="14"/>
      <c r="BB278" s="14"/>
      <c r="BC278" s="14"/>
      <c r="BD278" s="14"/>
      <c r="BE278" s="14"/>
      <c r="BF278" s="14"/>
      <c r="BG278" s="14"/>
      <c r="BH278" s="14"/>
      <c r="BI278" s="14"/>
      <c r="BJ278" s="14"/>
    </row>
    <row r="279" spans="1:65" s="1" customFormat="1" ht="12.75">
      <c r="A279" s="91" t="s">
        <v>4</v>
      </c>
      <c r="B279" s="353" t="str">
        <f>Vertaling!B135</f>
      </c>
      <c r="C279" s="263" t="str">
        <f>Vertaling!$B$147</f>
      </c>
      <c r="D279" s="279">
        <f>IF(DATA!$B$117="",0,DATA!$B$117)</f>
      </c>
      <c r="E279" s="263" t="str">
        <f>Vertaling!$B$147</f>
      </c>
      <c r="F279" s="279">
        <f>IF(DATA!$B$159="",0,DATA!$B$159)</f>
      </c>
      <c r="G279" s="353"/>
      <c r="H279" s="246"/>
      <c r="I279" s="246"/>
      <c r="J279" s="246"/>
      <c r="K279" s="246"/>
      <c r="L279" s="246"/>
      <c r="M279" s="246"/>
      <c r="N279" s="246"/>
      <c r="O279" s="246"/>
      <c r="P279" s="246"/>
      <c r="Q279" s="246"/>
      <c r="R279" s="246"/>
      <c r="S279" s="246"/>
      <c r="T279" s="246"/>
      <c r="U279" s="246"/>
      <c r="V279" s="246"/>
      <c r="W279" s="246"/>
      <c r="X279" s="246"/>
      <c r="Y279" s="246"/>
      <c r="Z279" s="246"/>
      <c r="AA279" s="246"/>
      <c r="AB279" s="246"/>
      <c r="AC279" s="246"/>
      <c r="AD279" s="246"/>
      <c r="AE279" s="246"/>
      <c r="AF279" s="246"/>
      <c r="AG279" s="246"/>
      <c r="AH279" s="246"/>
      <c r="AI279" s="246"/>
      <c r="AJ279" s="246"/>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353"/>
      <c r="BL279" s="353"/>
      <c r="BM279" s="353"/>
    </row>
    <row r="280" spans="1:65" customFormat="1" ht="12.75">
      <c r="A280" s="70"/>
      <c r="B280" s="353"/>
      <c r="C280" s="271"/>
      <c r="D280" s="1"/>
      <c r="E280" s="265"/>
      <c r="F280" s="243"/>
      <c r="G280" s="1"/>
      <c r="H280" s="240"/>
      <c r="I280" s="240"/>
      <c r="J280" s="240"/>
      <c r="K280" s="240"/>
      <c r="L280" s="240"/>
      <c r="M280" s="240"/>
      <c r="N280" s="240"/>
      <c r="O280" s="240"/>
      <c r="P280" s="240"/>
      <c r="Q280" s="240"/>
      <c r="R280" s="240"/>
      <c r="S280" s="240"/>
      <c r="T280" s="240"/>
      <c r="U280" s="240"/>
      <c r="V280" s="240"/>
      <c r="W280" s="240"/>
      <c r="X280" s="240"/>
      <c r="Y280" s="240"/>
      <c r="Z280" s="240"/>
      <c r="AA280" s="240"/>
      <c r="AB280" s="240"/>
      <c r="AC280" s="240"/>
      <c r="AD280" s="240"/>
      <c r="AE280" s="240"/>
      <c r="AF280" s="240"/>
      <c r="AG280" s="240"/>
      <c r="AH280" s="240"/>
      <c r="AI280" s="240"/>
      <c r="AJ280" s="240"/>
      <c r="AK280" s="13"/>
      <c r="AL280" s="13"/>
      <c r="AM280" s="13"/>
      <c r="AN280" s="13"/>
      <c r="AO280" s="13"/>
      <c r="AP280" s="13"/>
      <c r="AQ280" s="13"/>
      <c r="AR280" s="13"/>
      <c r="AS280" s="13"/>
      <c r="AT280" s="13"/>
      <c r="AU280" s="13"/>
      <c r="AV280" s="13"/>
      <c r="AW280" s="13"/>
      <c r="AX280" s="14"/>
      <c r="AY280" s="14"/>
      <c r="AZ280" s="14"/>
      <c r="BA280" s="14"/>
      <c r="BB280" s="14"/>
      <c r="BC280" s="14"/>
      <c r="BD280" s="14"/>
      <c r="BE280" s="14"/>
      <c r="BF280" s="14"/>
      <c r="BG280" s="14"/>
      <c r="BH280" s="14"/>
      <c r="BI280" s="14"/>
      <c r="BJ280" s="14"/>
    </row>
    <row r="281" spans="1:65" s="1" customFormat="1" ht="12.75">
      <c r="A281" s="91" t="s">
        <v>4</v>
      </c>
      <c r="B281" s="360" t="str">
        <f>Vertaling!B317</f>
      </c>
      <c r="C281" s="263" t="str">
        <f>Vertaling!$B$147</f>
      </c>
      <c r="D281" s="279">
        <f>IF(DATA!$B$118="",0,DATA!$B$118)</f>
      </c>
      <c r="E281" s="263" t="str">
        <f>Vertaling!$B$147</f>
      </c>
      <c r="F281" s="279">
        <f>IF(DATA!$B$160="",0,DATA!$B$160)</f>
      </c>
      <c r="G281" s="360"/>
      <c r="H281" s="246"/>
      <c r="I281" s="246"/>
      <c r="J281" s="246"/>
      <c r="K281" s="246"/>
      <c r="L281" s="246"/>
      <c r="M281" s="246"/>
      <c r="N281" s="246"/>
      <c r="O281" s="246"/>
      <c r="P281" s="246"/>
      <c r="Q281" s="246"/>
      <c r="R281" s="246"/>
      <c r="S281" s="246"/>
      <c r="T281" s="246"/>
      <c r="U281" s="246"/>
      <c r="V281" s="246"/>
      <c r="W281" s="246"/>
      <c r="X281" s="246"/>
      <c r="Y281" s="246"/>
      <c r="Z281" s="246"/>
      <c r="AA281" s="246"/>
      <c r="AB281" s="246"/>
      <c r="AC281" s="246"/>
      <c r="AD281" s="246"/>
      <c r="AE281" s="246"/>
      <c r="AF281" s="246"/>
      <c r="AG281" s="246"/>
      <c r="AH281" s="246"/>
      <c r="AI281" s="246"/>
      <c r="AJ281" s="246"/>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360"/>
      <c r="BL281" s="360"/>
      <c r="BM281" s="360"/>
    </row>
    <row r="282" spans="1:65" customFormat="1" ht="7.5" customHeight="1">
      <c r="A282" s="236"/>
      <c r="B282" s="360"/>
      <c r="C282" s="263"/>
      <c r="D282" s="235"/>
      <c r="E282" s="263"/>
      <c r="F282" s="235"/>
      <c r="G282" s="237"/>
      <c r="H282" s="240"/>
      <c r="I282" s="240"/>
      <c r="J282" s="240"/>
      <c r="K282" s="240"/>
      <c r="L282" s="240"/>
      <c r="M282" s="240"/>
      <c r="N282" s="240"/>
      <c r="O282" s="240"/>
      <c r="P282" s="240"/>
      <c r="Q282" s="240"/>
      <c r="R282" s="240"/>
      <c r="S282" s="240"/>
      <c r="T282" s="240"/>
      <c r="U282" s="240"/>
      <c r="V282" s="240"/>
      <c r="W282" s="240"/>
      <c r="X282" s="240"/>
      <c r="Y282" s="240"/>
      <c r="Z282" s="240"/>
      <c r="AA282" s="240"/>
      <c r="AB282" s="240"/>
      <c r="AC282" s="240"/>
      <c r="AD282" s="240"/>
      <c r="AE282" s="240"/>
      <c r="AF282" s="240"/>
      <c r="AG282" s="240"/>
      <c r="AH282" s="240"/>
      <c r="AI282" s="240"/>
      <c r="AJ282" s="240"/>
      <c r="AK282" s="13"/>
      <c r="AL282" s="13"/>
      <c r="AM282" s="13"/>
      <c r="AN282" s="13"/>
      <c r="AO282" s="13"/>
      <c r="AP282" s="13"/>
      <c r="AQ282" s="13"/>
      <c r="AR282" s="13"/>
      <c r="AS282" s="13"/>
      <c r="AT282" s="13"/>
      <c r="AU282" s="13"/>
      <c r="AV282" s="13"/>
      <c r="AW282" s="13"/>
      <c r="AX282" s="14"/>
      <c r="AY282" s="14"/>
      <c r="AZ282" s="14"/>
      <c r="BA282" s="14"/>
      <c r="BB282" s="14"/>
      <c r="BC282" s="14"/>
      <c r="BD282" s="14"/>
      <c r="BE282" s="14"/>
      <c r="BF282" s="14"/>
      <c r="BG282" s="14"/>
      <c r="BH282" s="14"/>
      <c r="BI282" s="14"/>
      <c r="BJ282" s="14"/>
    </row>
    <row r="283" spans="1:65" s="1" customFormat="1" ht="12.75">
      <c r="A283" s="91" t="s">
        <v>4</v>
      </c>
      <c r="B283" s="360" t="str">
        <f>Vertaling!B318</f>
      </c>
      <c r="C283" s="263" t="str">
        <f>Vertaling!$B$147</f>
      </c>
      <c r="D283" s="279">
        <f>IF(DATA!$B$119="",0,DATA!$B$119)</f>
      </c>
      <c r="E283" s="263" t="str">
        <f>Vertaling!$B$147</f>
      </c>
      <c r="F283" s="279">
        <f>IF(DATA!$B$161="",0,DATA!$B$161)</f>
      </c>
      <c r="G283" s="360"/>
      <c r="H283" s="246"/>
      <c r="I283" s="246"/>
      <c r="J283" s="246"/>
      <c r="K283" s="246"/>
      <c r="L283" s="246"/>
      <c r="M283" s="246"/>
      <c r="N283" s="246"/>
      <c r="O283" s="246"/>
      <c r="P283" s="246"/>
      <c r="Q283" s="246"/>
      <c r="R283" s="246"/>
      <c r="S283" s="246"/>
      <c r="T283" s="246"/>
      <c r="U283" s="246"/>
      <c r="V283" s="246"/>
      <c r="W283" s="246"/>
      <c r="X283" s="246"/>
      <c r="Y283" s="246"/>
      <c r="Z283" s="246"/>
      <c r="AA283" s="246"/>
      <c r="AB283" s="246"/>
      <c r="AC283" s="246"/>
      <c r="AD283" s="246"/>
      <c r="AE283" s="246"/>
      <c r="AF283" s="246"/>
      <c r="AG283" s="246"/>
      <c r="AH283" s="246"/>
      <c r="AI283" s="246"/>
      <c r="AJ283" s="246"/>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360"/>
      <c r="BL283" s="360"/>
      <c r="BM283" s="360"/>
    </row>
    <row r="284" spans="1:65" customFormat="1" ht="7.5" customHeight="1">
      <c r="A284" s="236"/>
      <c r="B284" s="360"/>
      <c r="C284" s="263"/>
      <c r="D284" s="235"/>
      <c r="E284" s="263"/>
      <c r="F284" s="235"/>
      <c r="G284" s="237"/>
      <c r="H284" s="240"/>
      <c r="I284" s="240"/>
      <c r="J284" s="240"/>
      <c r="K284" s="240"/>
      <c r="L284" s="240"/>
      <c r="M284" s="240"/>
      <c r="N284" s="240"/>
      <c r="O284" s="240"/>
      <c r="P284" s="240"/>
      <c r="Q284" s="240"/>
      <c r="R284" s="240"/>
      <c r="S284" s="240"/>
      <c r="T284" s="240"/>
      <c r="U284" s="240"/>
      <c r="V284" s="240"/>
      <c r="W284" s="240"/>
      <c r="X284" s="240"/>
      <c r="Y284" s="240"/>
      <c r="Z284" s="240"/>
      <c r="AA284" s="240"/>
      <c r="AB284" s="240"/>
      <c r="AC284" s="240"/>
      <c r="AD284" s="240"/>
      <c r="AE284" s="240"/>
      <c r="AF284" s="240"/>
      <c r="AG284" s="240"/>
      <c r="AH284" s="240"/>
      <c r="AI284" s="240"/>
      <c r="AJ284" s="240"/>
      <c r="AK284" s="13"/>
      <c r="AL284" s="13"/>
      <c r="AM284" s="13"/>
      <c r="AN284" s="13"/>
      <c r="AO284" s="13"/>
      <c r="AP284" s="13"/>
      <c r="AQ284" s="13"/>
      <c r="AR284" s="13"/>
      <c r="AS284" s="13"/>
      <c r="AT284" s="13"/>
      <c r="AU284" s="13"/>
      <c r="AV284" s="13"/>
      <c r="AW284" s="13"/>
      <c r="AX284" s="14"/>
      <c r="AY284" s="14"/>
      <c r="AZ284" s="14"/>
      <c r="BA284" s="14"/>
      <c r="BB284" s="14"/>
      <c r="BC284" s="14"/>
      <c r="BD284" s="14"/>
      <c r="BE284" s="14"/>
      <c r="BF284" s="14"/>
      <c r="BG284" s="14"/>
      <c r="BH284" s="14"/>
      <c r="BI284" s="14"/>
      <c r="BJ284" s="14"/>
    </row>
    <row r="285" spans="1:65" s="1" customFormat="1" ht="12.75">
      <c r="A285" s="91" t="s">
        <v>4</v>
      </c>
      <c r="B285" s="360" t="str">
        <f>Vertaling!B319</f>
      </c>
      <c r="C285" s="263" t="str">
        <f>Vertaling!$B$147</f>
      </c>
      <c r="D285" s="279">
        <f>IF(DATA!$B$120="",0,DATA!$B$120)</f>
      </c>
      <c r="E285" s="263" t="str">
        <f>Vertaling!$B$147</f>
      </c>
      <c r="F285" s="279">
        <f>IF(DATA!$B$162="",0,DATA!$B$162)</f>
      </c>
      <c r="G285" s="360"/>
      <c r="H285" s="246"/>
      <c r="I285" s="246"/>
      <c r="J285" s="246"/>
      <c r="K285" s="246"/>
      <c r="L285" s="246"/>
      <c r="M285" s="246"/>
      <c r="N285" s="246"/>
      <c r="O285" s="246"/>
      <c r="P285" s="246"/>
      <c r="Q285" s="246"/>
      <c r="R285" s="246"/>
      <c r="S285" s="246"/>
      <c r="T285" s="246"/>
      <c r="U285" s="246"/>
      <c r="V285" s="246"/>
      <c r="W285" s="246"/>
      <c r="X285" s="246"/>
      <c r="Y285" s="246"/>
      <c r="Z285" s="246"/>
      <c r="AA285" s="246"/>
      <c r="AB285" s="246"/>
      <c r="AC285" s="246"/>
      <c r="AD285" s="246"/>
      <c r="AE285" s="246"/>
      <c r="AF285" s="246"/>
      <c r="AG285" s="246"/>
      <c r="AH285" s="246"/>
      <c r="AI285" s="246"/>
      <c r="AJ285" s="246"/>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360"/>
      <c r="BL285" s="360"/>
      <c r="BM285" s="360"/>
    </row>
    <row r="286" spans="1:65" customFormat="1" ht="7.5" customHeight="1">
      <c r="A286" s="236"/>
      <c r="B286" s="360"/>
      <c r="C286" s="263"/>
      <c r="D286" s="235"/>
      <c r="E286" s="263"/>
      <c r="F286" s="235"/>
      <c r="G286" s="237"/>
      <c r="H286" s="240"/>
      <c r="I286" s="240"/>
      <c r="J286" s="240"/>
      <c r="K286" s="240"/>
      <c r="L286" s="240"/>
      <c r="M286" s="240"/>
      <c r="N286" s="240"/>
      <c r="O286" s="240"/>
      <c r="P286" s="240"/>
      <c r="Q286" s="240"/>
      <c r="R286" s="240"/>
      <c r="S286" s="240"/>
      <c r="T286" s="240"/>
      <c r="U286" s="240"/>
      <c r="V286" s="240"/>
      <c r="W286" s="240"/>
      <c r="X286" s="240"/>
      <c r="Y286" s="240"/>
      <c r="Z286" s="240"/>
      <c r="AA286" s="240"/>
      <c r="AB286" s="240"/>
      <c r="AC286" s="240"/>
      <c r="AD286" s="240"/>
      <c r="AE286" s="240"/>
      <c r="AF286" s="240"/>
      <c r="AG286" s="240"/>
      <c r="AH286" s="240"/>
      <c r="AI286" s="240"/>
      <c r="AJ286" s="240"/>
      <c r="AK286" s="13"/>
      <c r="AL286" s="13"/>
      <c r="AM286" s="13"/>
      <c r="AN286" s="13"/>
      <c r="AO286" s="13"/>
      <c r="AP286" s="13"/>
      <c r="AQ286" s="13"/>
      <c r="AR286" s="13"/>
      <c r="AS286" s="13"/>
      <c r="AT286" s="13"/>
      <c r="AU286" s="13"/>
      <c r="AV286" s="13"/>
      <c r="AW286" s="13"/>
      <c r="AX286" s="14"/>
      <c r="AY286" s="14"/>
      <c r="AZ286" s="14"/>
      <c r="BA286" s="14"/>
      <c r="BB286" s="14"/>
      <c r="BC286" s="14"/>
      <c r="BD286" s="14"/>
      <c r="BE286" s="14"/>
      <c r="BF286" s="14"/>
      <c r="BG286" s="14"/>
      <c r="BH286" s="14"/>
      <c r="BI286" s="14"/>
      <c r="BJ286" s="14"/>
    </row>
    <row r="287" spans="1:65" s="1" customFormat="1" ht="12.75">
      <c r="A287" s="91" t="s">
        <v>4</v>
      </c>
      <c r="B287" s="360" t="str">
        <f>Vertaling!B320</f>
      </c>
      <c r="C287" s="263" t="str">
        <f>Vertaling!$B$147</f>
      </c>
      <c r="D287" s="279">
        <f>IF(DATA!$B$121="",0,DATA!$B$121)</f>
      </c>
      <c r="E287" s="263" t="str">
        <f>Vertaling!$B$147</f>
      </c>
      <c r="F287" s="279">
        <f>IF(DATA!$B$163="",0,DATA!$B$163)</f>
      </c>
      <c r="G287" s="360"/>
      <c r="H287" s="246"/>
      <c r="I287" s="246"/>
      <c r="J287" s="246"/>
      <c r="K287" s="246"/>
      <c r="L287" s="246"/>
      <c r="M287" s="246"/>
      <c r="N287" s="246"/>
      <c r="O287" s="246"/>
      <c r="P287" s="246"/>
      <c r="Q287" s="246"/>
      <c r="R287" s="246"/>
      <c r="S287" s="246"/>
      <c r="T287" s="246"/>
      <c r="U287" s="246"/>
      <c r="V287" s="246"/>
      <c r="W287" s="246"/>
      <c r="X287" s="246"/>
      <c r="Y287" s="246"/>
      <c r="Z287" s="246"/>
      <c r="AA287" s="246"/>
      <c r="AB287" s="246"/>
      <c r="AC287" s="246"/>
      <c r="AD287" s="246"/>
      <c r="AE287" s="246"/>
      <c r="AF287" s="246"/>
      <c r="AG287" s="246"/>
      <c r="AH287" s="246"/>
      <c r="AI287" s="246"/>
      <c r="AJ287" s="246"/>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360"/>
      <c r="BL287" s="360"/>
      <c r="BM287" s="360"/>
    </row>
    <row r="288" spans="1:65" customFormat="1" ht="7.5" customHeight="1">
      <c r="A288" s="236"/>
      <c r="B288" s="360"/>
      <c r="C288" s="263"/>
      <c r="D288" s="235"/>
      <c r="E288" s="263"/>
      <c r="F288" s="235"/>
      <c r="G288" s="237"/>
      <c r="H288" s="240"/>
      <c r="I288" s="240"/>
      <c r="J288" s="240"/>
      <c r="K288" s="240"/>
      <c r="L288" s="240"/>
      <c r="M288" s="240"/>
      <c r="N288" s="240"/>
      <c r="O288" s="240"/>
      <c r="P288" s="240"/>
      <c r="Q288" s="240"/>
      <c r="R288" s="240"/>
      <c r="S288" s="240"/>
      <c r="T288" s="240"/>
      <c r="U288" s="240"/>
      <c r="V288" s="240"/>
      <c r="W288" s="240"/>
      <c r="X288" s="240"/>
      <c r="Y288" s="240"/>
      <c r="Z288" s="240"/>
      <c r="AA288" s="240"/>
      <c r="AB288" s="240"/>
      <c r="AC288" s="240"/>
      <c r="AD288" s="240"/>
      <c r="AE288" s="240"/>
      <c r="AF288" s="240"/>
      <c r="AG288" s="240"/>
      <c r="AH288" s="240"/>
      <c r="AI288" s="240"/>
      <c r="AJ288" s="240"/>
      <c r="AK288" s="13"/>
      <c r="AL288" s="13"/>
      <c r="AM288" s="13"/>
      <c r="AN288" s="13"/>
      <c r="AO288" s="13"/>
      <c r="AP288" s="13"/>
      <c r="AQ288" s="13"/>
      <c r="AR288" s="13"/>
      <c r="AS288" s="13"/>
      <c r="AT288" s="13"/>
      <c r="AU288" s="13"/>
      <c r="AV288" s="13"/>
      <c r="AW288" s="13"/>
      <c r="AX288" s="14"/>
      <c r="AY288" s="14"/>
      <c r="AZ288" s="14"/>
      <c r="BA288" s="14"/>
      <c r="BB288" s="14"/>
      <c r="BC288" s="14"/>
      <c r="BD288" s="14"/>
      <c r="BE288" s="14"/>
      <c r="BF288" s="14"/>
      <c r="BG288" s="14"/>
      <c r="BH288" s="14"/>
      <c r="BI288" s="14"/>
      <c r="BJ288" s="14"/>
    </row>
    <row r="289" spans="1:65" s="1" customFormat="1" ht="12.75">
      <c r="A289" s="91" t="s">
        <v>4</v>
      </c>
      <c r="B289" s="360" t="str">
        <f>Vertaling!B321</f>
      </c>
      <c r="C289" s="263" t="str">
        <f>Vertaling!$B$147</f>
      </c>
      <c r="D289" s="279">
        <f>IF(DATA!$B$122="",0,DATA!$B$122)</f>
      </c>
      <c r="E289" s="263" t="str">
        <f>Vertaling!$B$147</f>
      </c>
      <c r="F289" s="279">
        <f>IF(DATA!$B$164="",0,DATA!$B$164)</f>
      </c>
      <c r="G289" s="360"/>
      <c r="H289" s="246"/>
      <c r="I289" s="246"/>
      <c r="J289" s="246"/>
      <c r="K289" s="246"/>
      <c r="L289" s="246"/>
      <c r="M289" s="246"/>
      <c r="N289" s="246"/>
      <c r="O289" s="246"/>
      <c r="P289" s="246"/>
      <c r="Q289" s="246"/>
      <c r="R289" s="246"/>
      <c r="S289" s="246"/>
      <c r="T289" s="246"/>
      <c r="U289" s="246"/>
      <c r="V289" s="246"/>
      <c r="W289" s="246"/>
      <c r="X289" s="246"/>
      <c r="Y289" s="246"/>
      <c r="Z289" s="246"/>
      <c r="AA289" s="246"/>
      <c r="AB289" s="246"/>
      <c r="AC289" s="246"/>
      <c r="AD289" s="246"/>
      <c r="AE289" s="246"/>
      <c r="AF289" s="246"/>
      <c r="AG289" s="246"/>
      <c r="AH289" s="246"/>
      <c r="AI289" s="246"/>
      <c r="AJ289" s="246"/>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360"/>
      <c r="BL289" s="360"/>
      <c r="BM289" s="360"/>
    </row>
    <row r="290" spans="1:65" customFormat="1" ht="7.5" customHeight="1">
      <c r="A290" s="236"/>
      <c r="B290" s="360"/>
      <c r="C290" s="263"/>
      <c r="D290" s="235"/>
      <c r="E290" s="263"/>
      <c r="F290" s="235"/>
      <c r="G290" s="237"/>
      <c r="H290" s="240"/>
      <c r="I290" s="240"/>
      <c r="J290" s="240"/>
      <c r="K290" s="240"/>
      <c r="L290" s="240"/>
      <c r="M290" s="240"/>
      <c r="N290" s="240"/>
      <c r="O290" s="240"/>
      <c r="P290" s="240"/>
      <c r="Q290" s="240"/>
      <c r="R290" s="240"/>
      <c r="S290" s="240"/>
      <c r="T290" s="240"/>
      <c r="U290" s="240"/>
      <c r="V290" s="240"/>
      <c r="W290" s="240"/>
      <c r="X290" s="240"/>
      <c r="Y290" s="240"/>
      <c r="Z290" s="240"/>
      <c r="AA290" s="240"/>
      <c r="AB290" s="240"/>
      <c r="AC290" s="240"/>
      <c r="AD290" s="240"/>
      <c r="AE290" s="240"/>
      <c r="AF290" s="240"/>
      <c r="AG290" s="240"/>
      <c r="AH290" s="240"/>
      <c r="AI290" s="240"/>
      <c r="AJ290" s="240"/>
      <c r="AK290" s="13"/>
      <c r="AL290" s="13"/>
      <c r="AM290" s="13"/>
      <c r="AN290" s="13"/>
      <c r="AO290" s="13"/>
      <c r="AP290" s="13"/>
      <c r="AQ290" s="13"/>
      <c r="AR290" s="13"/>
      <c r="AS290" s="13"/>
      <c r="AT290" s="13"/>
      <c r="AU290" s="13"/>
      <c r="AV290" s="13"/>
      <c r="AW290" s="13"/>
      <c r="AX290" s="14"/>
      <c r="AY290" s="14"/>
      <c r="AZ290" s="14"/>
      <c r="BA290" s="14"/>
      <c r="BB290" s="14"/>
      <c r="BC290" s="14"/>
      <c r="BD290" s="14"/>
      <c r="BE290" s="14"/>
      <c r="BF290" s="14"/>
      <c r="BG290" s="14"/>
      <c r="BH290" s="14"/>
      <c r="BI290" s="14"/>
      <c r="BJ290" s="14"/>
    </row>
    <row r="291" spans="1:65" s="1" customFormat="1" ht="12.75">
      <c r="A291" s="91" t="s">
        <v>4</v>
      </c>
      <c r="B291" s="360" t="str">
        <f>Vertaling!B322</f>
      </c>
      <c r="C291" s="263" t="str">
        <f>Vertaling!$B$147</f>
      </c>
      <c r="D291" s="279">
        <f>IF(DATA!$B$123="",0,DATA!$B$123)</f>
      </c>
      <c r="E291" s="263" t="str">
        <f>Vertaling!$B$147</f>
      </c>
      <c r="F291" s="279">
        <f>IF(DATA!$B$165="",0,DATA!$B$165)</f>
      </c>
      <c r="G291" s="360"/>
      <c r="H291" s="246"/>
      <c r="I291" s="246"/>
      <c r="J291" s="246"/>
      <c r="K291" s="246"/>
      <c r="L291" s="246"/>
      <c r="M291" s="246"/>
      <c r="N291" s="246"/>
      <c r="O291" s="246"/>
      <c r="P291" s="246"/>
      <c r="Q291" s="246"/>
      <c r="R291" s="246"/>
      <c r="S291" s="246"/>
      <c r="T291" s="246"/>
      <c r="U291" s="246"/>
      <c r="V291" s="246"/>
      <c r="W291" s="246"/>
      <c r="X291" s="246"/>
      <c r="Y291" s="246"/>
      <c r="Z291" s="246"/>
      <c r="AA291" s="246"/>
      <c r="AB291" s="246"/>
      <c r="AC291" s="246"/>
      <c r="AD291" s="246"/>
      <c r="AE291" s="246"/>
      <c r="AF291" s="246"/>
      <c r="AG291" s="246"/>
      <c r="AH291" s="246"/>
      <c r="AI291" s="246"/>
      <c r="AJ291" s="246"/>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360"/>
      <c r="BL291" s="360"/>
      <c r="BM291" s="360"/>
    </row>
    <row r="292" spans="1:65" customFormat="1" ht="7.5" customHeight="1">
      <c r="A292" s="236"/>
      <c r="B292" s="360"/>
      <c r="C292" s="263"/>
      <c r="D292" s="235"/>
      <c r="E292" s="263"/>
      <c r="F292" s="235"/>
      <c r="G292" s="237"/>
      <c r="H292" s="240"/>
      <c r="I292" s="240"/>
      <c r="J292" s="240"/>
      <c r="K292" s="240"/>
      <c r="L292" s="240"/>
      <c r="M292" s="240"/>
      <c r="N292" s="240"/>
      <c r="O292" s="240"/>
      <c r="P292" s="240"/>
      <c r="Q292" s="240"/>
      <c r="R292" s="240"/>
      <c r="S292" s="240"/>
      <c r="T292" s="240"/>
      <c r="U292" s="240"/>
      <c r="V292" s="240"/>
      <c r="W292" s="240"/>
      <c r="X292" s="240"/>
      <c r="Y292" s="240"/>
      <c r="Z292" s="240"/>
      <c r="AA292" s="240"/>
      <c r="AB292" s="240"/>
      <c r="AC292" s="240"/>
      <c r="AD292" s="240"/>
      <c r="AE292" s="240"/>
      <c r="AF292" s="240"/>
      <c r="AG292" s="240"/>
      <c r="AH292" s="240"/>
      <c r="AI292" s="240"/>
      <c r="AJ292" s="240"/>
      <c r="AK292" s="13"/>
      <c r="AL292" s="13"/>
      <c r="AM292" s="13"/>
      <c r="AN292" s="13"/>
      <c r="AO292" s="13"/>
      <c r="AP292" s="13"/>
      <c r="AQ292" s="13"/>
      <c r="AR292" s="13"/>
      <c r="AS292" s="13"/>
      <c r="AT292" s="13"/>
      <c r="AU292" s="13"/>
      <c r="AV292" s="13"/>
      <c r="AW292" s="13"/>
      <c r="AX292" s="14"/>
      <c r="AY292" s="14"/>
      <c r="AZ292" s="14"/>
      <c r="BA292" s="14"/>
      <c r="BB292" s="14"/>
      <c r="BC292" s="14"/>
      <c r="BD292" s="14"/>
      <c r="BE292" s="14"/>
      <c r="BF292" s="14"/>
      <c r="BG292" s="14"/>
      <c r="BH292" s="14"/>
      <c r="BI292" s="14"/>
      <c r="BJ292" s="14"/>
    </row>
    <row r="293" spans="1:65" s="1" customFormat="1" ht="12.75">
      <c r="A293" s="91" t="s">
        <v>4</v>
      </c>
      <c r="B293" s="360" t="str">
        <f>Vertaling!B323</f>
      </c>
      <c r="C293" s="263" t="str">
        <f>Vertaling!$B$147</f>
      </c>
      <c r="D293" s="279">
        <f>IF(DATA!$B$124="",0,DATA!$B$124)</f>
      </c>
      <c r="E293" s="263" t="str">
        <f>Vertaling!$B$147</f>
      </c>
      <c r="F293" s="279">
        <f>IF(DATA!$B$166="",0,DATA!$B$166)</f>
      </c>
      <c r="G293" s="360"/>
      <c r="H293" s="246"/>
      <c r="I293" s="246"/>
      <c r="J293" s="246"/>
      <c r="K293" s="246"/>
      <c r="L293" s="246"/>
      <c r="M293" s="246"/>
      <c r="N293" s="246"/>
      <c r="O293" s="246"/>
      <c r="P293" s="246"/>
      <c r="Q293" s="246"/>
      <c r="R293" s="246"/>
      <c r="S293" s="246"/>
      <c r="T293" s="246"/>
      <c r="U293" s="246"/>
      <c r="V293" s="246"/>
      <c r="W293" s="246"/>
      <c r="X293" s="246"/>
      <c r="Y293" s="246"/>
      <c r="Z293" s="246"/>
      <c r="AA293" s="246"/>
      <c r="AB293" s="246"/>
      <c r="AC293" s="246"/>
      <c r="AD293" s="246"/>
      <c r="AE293" s="246"/>
      <c r="AF293" s="246"/>
      <c r="AG293" s="246"/>
      <c r="AH293" s="246"/>
      <c r="AI293" s="246"/>
      <c r="AJ293" s="246"/>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360"/>
      <c r="BL293" s="360"/>
      <c r="BM293" s="360"/>
    </row>
    <row r="294" spans="1:65" customFormat="1" ht="7.5" customHeight="1">
      <c r="A294" s="236"/>
      <c r="B294" s="360"/>
      <c r="C294" s="263"/>
      <c r="D294" s="235"/>
      <c r="E294" s="263"/>
      <c r="F294" s="235"/>
      <c r="G294" s="237"/>
      <c r="H294" s="240"/>
      <c r="I294" s="240"/>
      <c r="J294" s="240"/>
      <c r="K294" s="240"/>
      <c r="L294" s="240"/>
      <c r="M294" s="240"/>
      <c r="N294" s="240"/>
      <c r="O294" s="240"/>
      <c r="P294" s="240"/>
      <c r="Q294" s="240"/>
      <c r="R294" s="240"/>
      <c r="S294" s="240"/>
      <c r="T294" s="240"/>
      <c r="U294" s="240"/>
      <c r="V294" s="240"/>
      <c r="W294" s="240"/>
      <c r="X294" s="240"/>
      <c r="Y294" s="240"/>
      <c r="Z294" s="240"/>
      <c r="AA294" s="240"/>
      <c r="AB294" s="240"/>
      <c r="AC294" s="240"/>
      <c r="AD294" s="240"/>
      <c r="AE294" s="240"/>
      <c r="AF294" s="240"/>
      <c r="AG294" s="240"/>
      <c r="AH294" s="240"/>
      <c r="AI294" s="240"/>
      <c r="AJ294" s="240"/>
      <c r="AK294" s="13"/>
      <c r="AL294" s="13"/>
      <c r="AM294" s="13"/>
      <c r="AN294" s="13"/>
      <c r="AO294" s="13"/>
      <c r="AP294" s="13"/>
      <c r="AQ294" s="13"/>
      <c r="AR294" s="13"/>
      <c r="AS294" s="13"/>
      <c r="AT294" s="13"/>
      <c r="AU294" s="13"/>
      <c r="AV294" s="13"/>
      <c r="AW294" s="13"/>
      <c r="AX294" s="14"/>
      <c r="AY294" s="14"/>
      <c r="AZ294" s="14"/>
      <c r="BA294" s="14"/>
      <c r="BB294" s="14"/>
      <c r="BC294" s="14"/>
      <c r="BD294" s="14"/>
      <c r="BE294" s="14"/>
      <c r="BF294" s="14"/>
      <c r="BG294" s="14"/>
      <c r="BH294" s="14"/>
      <c r="BI294" s="14"/>
      <c r="BJ294" s="14"/>
    </row>
    <row r="295" spans="1:65" s="1" customFormat="1" ht="12.75">
      <c r="A295" s="91" t="s">
        <v>4</v>
      </c>
      <c r="B295" s="360" t="str">
        <f>Vertaling!B324</f>
      </c>
      <c r="C295" s="263" t="str">
        <f>Vertaling!$B$147</f>
      </c>
      <c r="D295" s="279">
        <f>IF(DATA!$B$125="",0,DATA!$B$125)</f>
      </c>
      <c r="E295" s="263" t="str">
        <f>Vertaling!$B$147</f>
      </c>
      <c r="F295" s="279">
        <f>IF(DATA!$B$167="",0,DATA!$B$167)</f>
      </c>
      <c r="G295" s="360"/>
      <c r="H295" s="246"/>
      <c r="I295" s="246"/>
      <c r="J295" s="246"/>
      <c r="K295" s="246"/>
      <c r="L295" s="246"/>
      <c r="M295" s="246"/>
      <c r="N295" s="246"/>
      <c r="O295" s="246"/>
      <c r="P295" s="246"/>
      <c r="Q295" s="246"/>
      <c r="R295" s="246"/>
      <c r="S295" s="246"/>
      <c r="T295" s="246"/>
      <c r="U295" s="246"/>
      <c r="V295" s="246"/>
      <c r="W295" s="246"/>
      <c r="X295" s="246"/>
      <c r="Y295" s="246"/>
      <c r="Z295" s="246"/>
      <c r="AA295" s="246"/>
      <c r="AB295" s="246"/>
      <c r="AC295" s="246"/>
      <c r="AD295" s="246"/>
      <c r="AE295" s="246"/>
      <c r="AF295" s="246"/>
      <c r="AG295" s="246"/>
      <c r="AH295" s="246"/>
      <c r="AI295" s="246"/>
      <c r="AJ295" s="246"/>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360"/>
      <c r="BL295" s="360"/>
      <c r="BM295" s="360"/>
    </row>
    <row r="296" spans="1:65" customFormat="1" ht="7.5" customHeight="1">
      <c r="A296" s="236"/>
      <c r="B296" s="360"/>
      <c r="C296" s="263"/>
      <c r="D296" s="235"/>
      <c r="E296" s="263"/>
      <c r="F296" s="235"/>
      <c r="G296" s="237"/>
      <c r="H296" s="240"/>
      <c r="I296" s="240"/>
      <c r="J296" s="240"/>
      <c r="K296" s="240"/>
      <c r="L296" s="240"/>
      <c r="M296" s="240"/>
      <c r="N296" s="240"/>
      <c r="O296" s="240"/>
      <c r="P296" s="240"/>
      <c r="Q296" s="240"/>
      <c r="R296" s="240"/>
      <c r="S296" s="240"/>
      <c r="T296" s="240"/>
      <c r="U296" s="240"/>
      <c r="V296" s="240"/>
      <c r="W296" s="240"/>
      <c r="X296" s="240"/>
      <c r="Y296" s="240"/>
      <c r="Z296" s="240"/>
      <c r="AA296" s="240"/>
      <c r="AB296" s="240"/>
      <c r="AC296" s="240"/>
      <c r="AD296" s="240"/>
      <c r="AE296" s="240"/>
      <c r="AF296" s="240"/>
      <c r="AG296" s="240"/>
      <c r="AH296" s="240"/>
      <c r="AI296" s="240"/>
      <c r="AJ296" s="240"/>
      <c r="AK296" s="13"/>
      <c r="AL296" s="13"/>
      <c r="AM296" s="13"/>
      <c r="AN296" s="13"/>
      <c r="AO296" s="13"/>
      <c r="AP296" s="13"/>
      <c r="AQ296" s="13"/>
      <c r="AR296" s="13"/>
      <c r="AS296" s="13"/>
      <c r="AT296" s="13"/>
      <c r="AU296" s="13"/>
      <c r="AV296" s="13"/>
      <c r="AW296" s="13"/>
      <c r="AX296" s="14"/>
      <c r="AY296" s="14"/>
      <c r="AZ296" s="14"/>
      <c r="BA296" s="14"/>
      <c r="BB296" s="14"/>
      <c r="BC296" s="14"/>
      <c r="BD296" s="14"/>
      <c r="BE296" s="14"/>
      <c r="BF296" s="14"/>
      <c r="BG296" s="14"/>
      <c r="BH296" s="14"/>
      <c r="BI296" s="14"/>
      <c r="BJ296" s="14"/>
    </row>
    <row r="297" spans="1:65" s="1" customFormat="1" ht="12.75">
      <c r="A297" s="91" t="s">
        <v>4</v>
      </c>
      <c r="B297" s="360" t="str">
        <f>Vertaling!B325</f>
      </c>
      <c r="C297" s="263" t="str">
        <f>Vertaling!$B$147</f>
      </c>
      <c r="D297" s="279">
        <f>IF(DATA!$B$126="",0,DATA!$B$126)</f>
      </c>
      <c r="E297" s="263" t="str">
        <f>Vertaling!$B$147</f>
      </c>
      <c r="F297" s="279">
        <f>IF(DATA!$B$168="",0,DATA!$B$168)</f>
      </c>
      <c r="G297" s="360"/>
      <c r="H297" s="246"/>
      <c r="I297" s="246"/>
      <c r="J297" s="246"/>
      <c r="K297" s="246"/>
      <c r="L297" s="246"/>
      <c r="M297" s="246"/>
      <c r="N297" s="246"/>
      <c r="O297" s="246"/>
      <c r="P297" s="246"/>
      <c r="Q297" s="246"/>
      <c r="R297" s="246"/>
      <c r="S297" s="246"/>
      <c r="T297" s="246"/>
      <c r="U297" s="246"/>
      <c r="V297" s="246"/>
      <c r="W297" s="246"/>
      <c r="X297" s="246"/>
      <c r="Y297" s="246"/>
      <c r="Z297" s="246"/>
      <c r="AA297" s="246"/>
      <c r="AB297" s="246"/>
      <c r="AC297" s="246"/>
      <c r="AD297" s="246"/>
      <c r="AE297" s="246"/>
      <c r="AF297" s="246"/>
      <c r="AG297" s="246"/>
      <c r="AH297" s="246"/>
      <c r="AI297" s="246"/>
      <c r="AJ297" s="246"/>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360"/>
      <c r="BL297" s="360"/>
      <c r="BM297" s="360"/>
    </row>
    <row r="298" spans="1:65" customFormat="1" ht="7.5" customHeight="1">
      <c r="A298" s="236"/>
      <c r="B298" s="360"/>
      <c r="C298" s="263"/>
      <c r="D298" s="235"/>
      <c r="E298" s="263"/>
      <c r="F298" s="235"/>
      <c r="G298" s="237"/>
      <c r="H298" s="240"/>
      <c r="I298" s="240"/>
      <c r="J298" s="240"/>
      <c r="K298" s="240"/>
      <c r="L298" s="240"/>
      <c r="M298" s="240"/>
      <c r="N298" s="240"/>
      <c r="O298" s="240"/>
      <c r="P298" s="240"/>
      <c r="Q298" s="240"/>
      <c r="R298" s="240"/>
      <c r="S298" s="240"/>
      <c r="T298" s="240"/>
      <c r="U298" s="240"/>
      <c r="V298" s="240"/>
      <c r="W298" s="240"/>
      <c r="X298" s="240"/>
      <c r="Y298" s="240"/>
      <c r="Z298" s="240"/>
      <c r="AA298" s="240"/>
      <c r="AB298" s="240"/>
      <c r="AC298" s="240"/>
      <c r="AD298" s="240"/>
      <c r="AE298" s="240"/>
      <c r="AF298" s="240"/>
      <c r="AG298" s="240"/>
      <c r="AH298" s="240"/>
      <c r="AI298" s="240"/>
      <c r="AJ298" s="240"/>
      <c r="AK298" s="13"/>
      <c r="AL298" s="13"/>
      <c r="AM298" s="13"/>
      <c r="AN298" s="13"/>
      <c r="AO298" s="13"/>
      <c r="AP298" s="13"/>
      <c r="AQ298" s="13"/>
      <c r="AR298" s="13"/>
      <c r="AS298" s="13"/>
      <c r="AT298" s="13"/>
      <c r="AU298" s="13"/>
      <c r="AV298" s="13"/>
      <c r="AW298" s="13"/>
      <c r="AX298" s="14"/>
      <c r="AY298" s="14"/>
      <c r="AZ298" s="14"/>
      <c r="BA298" s="14"/>
      <c r="BB298" s="14"/>
      <c r="BC298" s="14"/>
      <c r="BD298" s="14"/>
      <c r="BE298" s="14"/>
      <c r="BF298" s="14"/>
      <c r="BG298" s="14"/>
      <c r="BH298" s="14"/>
      <c r="BI298" s="14"/>
      <c r="BJ298" s="14"/>
    </row>
    <row r="299" spans="1:65" s="1" customFormat="1" ht="12.75">
      <c r="A299" s="91" t="s">
        <v>4</v>
      </c>
      <c r="B299" s="360" t="str">
        <f>Vertaling!B326</f>
      </c>
      <c r="C299" s="263" t="str">
        <f>Vertaling!$B$147</f>
      </c>
      <c r="D299" s="279">
        <f>IF(DATA!$B$127="",0,DATA!$B$127)</f>
      </c>
      <c r="E299" s="263" t="str">
        <f>Vertaling!$B$147</f>
      </c>
      <c r="F299" s="279">
        <f>IF(DATA!$B$169="",0,DATA!$B$169)</f>
      </c>
      <c r="G299" s="360"/>
      <c r="H299" s="246"/>
      <c r="I299" s="246"/>
      <c r="J299" s="246"/>
      <c r="K299" s="246"/>
      <c r="L299" s="246"/>
      <c r="M299" s="246"/>
      <c r="N299" s="246"/>
      <c r="O299" s="246"/>
      <c r="P299" s="246"/>
      <c r="Q299" s="246"/>
      <c r="R299" s="246"/>
      <c r="S299" s="246"/>
      <c r="T299" s="246"/>
      <c r="U299" s="246"/>
      <c r="V299" s="246"/>
      <c r="W299" s="246"/>
      <c r="X299" s="246"/>
      <c r="Y299" s="246"/>
      <c r="Z299" s="246"/>
      <c r="AA299" s="246"/>
      <c r="AB299" s="246"/>
      <c r="AC299" s="246"/>
      <c r="AD299" s="246"/>
      <c r="AE299" s="246"/>
      <c r="AF299" s="246"/>
      <c r="AG299" s="246"/>
      <c r="AH299" s="246"/>
      <c r="AI299" s="246"/>
      <c r="AJ299" s="246"/>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360"/>
      <c r="BL299" s="360"/>
      <c r="BM299" s="360"/>
    </row>
    <row r="300" spans="1:65" customFormat="1" ht="7.5" customHeight="1">
      <c r="A300" s="236"/>
      <c r="B300" s="360"/>
      <c r="C300" s="263"/>
      <c r="D300" s="235"/>
      <c r="E300" s="263"/>
      <c r="F300" s="235"/>
      <c r="G300" s="237"/>
      <c r="H300" s="240"/>
      <c r="I300" s="240"/>
      <c r="J300" s="240"/>
      <c r="K300" s="240"/>
      <c r="L300" s="240"/>
      <c r="M300" s="240"/>
      <c r="N300" s="240"/>
      <c r="O300" s="240"/>
      <c r="P300" s="240"/>
      <c r="Q300" s="240"/>
      <c r="R300" s="240"/>
      <c r="S300" s="240"/>
      <c r="T300" s="240"/>
      <c r="U300" s="240"/>
      <c r="V300" s="240"/>
      <c r="W300" s="240"/>
      <c r="X300" s="240"/>
      <c r="Y300" s="240"/>
      <c r="Z300" s="240"/>
      <c r="AA300" s="240"/>
      <c r="AB300" s="240"/>
      <c r="AC300" s="240"/>
      <c r="AD300" s="240"/>
      <c r="AE300" s="240"/>
      <c r="AF300" s="240"/>
      <c r="AG300" s="240"/>
      <c r="AH300" s="240"/>
      <c r="AI300" s="240"/>
      <c r="AJ300" s="240"/>
      <c r="AK300" s="13"/>
      <c r="AL300" s="13"/>
      <c r="AM300" s="13"/>
      <c r="AN300" s="13"/>
      <c r="AO300" s="13"/>
      <c r="AP300" s="13"/>
      <c r="AQ300" s="13"/>
      <c r="AR300" s="13"/>
      <c r="AS300" s="13"/>
      <c r="AT300" s="13"/>
      <c r="AU300" s="13"/>
      <c r="AV300" s="13"/>
      <c r="AW300" s="13"/>
      <c r="AX300" s="14"/>
      <c r="AY300" s="14"/>
      <c r="AZ300" s="14"/>
      <c r="BA300" s="14"/>
      <c r="BB300" s="14"/>
      <c r="BC300" s="14"/>
      <c r="BD300" s="14"/>
      <c r="BE300" s="14"/>
      <c r="BF300" s="14"/>
      <c r="BG300" s="14"/>
      <c r="BH300" s="14"/>
      <c r="BI300" s="14"/>
      <c r="BJ300" s="14"/>
    </row>
    <row r="301" spans="1:65" s="1" customFormat="1" ht="12.75">
      <c r="A301" s="91" t="s">
        <v>4</v>
      </c>
      <c r="B301" s="360" t="str">
        <f>Vertaling!B327</f>
      </c>
      <c r="C301" s="263" t="str">
        <f>Vertaling!$B$147</f>
      </c>
      <c r="D301" s="279">
        <f>IF(DATA!$B$128="",0,DATA!$B$128)</f>
      </c>
      <c r="E301" s="263" t="str">
        <f>Vertaling!$B$147</f>
      </c>
      <c r="F301" s="279">
        <f>IF(DATA!$B$170="",0,DATA!$B$170)</f>
      </c>
      <c r="G301" s="360"/>
      <c r="H301" s="246"/>
      <c r="I301" s="246"/>
      <c r="J301" s="246"/>
      <c r="K301" s="246"/>
      <c r="L301" s="246"/>
      <c r="M301" s="246"/>
      <c r="N301" s="246"/>
      <c r="O301" s="246"/>
      <c r="P301" s="246"/>
      <c r="Q301" s="246"/>
      <c r="R301" s="246"/>
      <c r="S301" s="246"/>
      <c r="T301" s="246"/>
      <c r="U301" s="246"/>
      <c r="V301" s="246"/>
      <c r="W301" s="246"/>
      <c r="X301" s="246"/>
      <c r="Y301" s="246"/>
      <c r="Z301" s="246"/>
      <c r="AA301" s="246"/>
      <c r="AB301" s="246"/>
      <c r="AC301" s="246"/>
      <c r="AD301" s="246"/>
      <c r="AE301" s="246"/>
      <c r="AF301" s="246"/>
      <c r="AG301" s="246"/>
      <c r="AH301" s="246"/>
      <c r="AI301" s="246"/>
      <c r="AJ301" s="246"/>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360"/>
      <c r="BL301" s="360"/>
      <c r="BM301" s="360"/>
    </row>
    <row r="302" spans="1:65" customFormat="1" ht="7.5" customHeight="1">
      <c r="A302" s="236"/>
      <c r="B302" s="360"/>
      <c r="C302" s="263"/>
      <c r="D302" s="235"/>
      <c r="E302" s="263"/>
      <c r="F302" s="235"/>
      <c r="G302" s="237"/>
      <c r="H302" s="240"/>
      <c r="I302" s="240"/>
      <c r="J302" s="240"/>
      <c r="K302" s="240"/>
      <c r="L302" s="240"/>
      <c r="M302" s="240"/>
      <c r="N302" s="240"/>
      <c r="O302" s="240"/>
      <c r="P302" s="240"/>
      <c r="Q302" s="240"/>
      <c r="R302" s="240"/>
      <c r="S302" s="240"/>
      <c r="T302" s="240"/>
      <c r="U302" s="240"/>
      <c r="V302" s="240"/>
      <c r="W302" s="240"/>
      <c r="X302" s="240"/>
      <c r="Y302" s="240"/>
      <c r="Z302" s="240"/>
      <c r="AA302" s="240"/>
      <c r="AB302" s="240"/>
      <c r="AC302" s="240"/>
      <c r="AD302" s="240"/>
      <c r="AE302" s="240"/>
      <c r="AF302" s="240"/>
      <c r="AG302" s="240"/>
      <c r="AH302" s="240"/>
      <c r="AI302" s="240"/>
      <c r="AJ302" s="240"/>
      <c r="AK302" s="13"/>
      <c r="AL302" s="13"/>
      <c r="AM302" s="13"/>
      <c r="AN302" s="13"/>
      <c r="AO302" s="13"/>
      <c r="AP302" s="13"/>
      <c r="AQ302" s="13"/>
      <c r="AR302" s="13"/>
      <c r="AS302" s="13"/>
      <c r="AT302" s="13"/>
      <c r="AU302" s="13"/>
      <c r="AV302" s="13"/>
      <c r="AW302" s="13"/>
      <c r="AX302" s="14"/>
      <c r="AY302" s="14"/>
      <c r="AZ302" s="14"/>
      <c r="BA302" s="14"/>
      <c r="BB302" s="14"/>
      <c r="BC302" s="14"/>
      <c r="BD302" s="14"/>
      <c r="BE302" s="14"/>
      <c r="BF302" s="14"/>
      <c r="BG302" s="14"/>
      <c r="BH302" s="14"/>
      <c r="BI302" s="14"/>
      <c r="BJ302" s="14"/>
    </row>
    <row r="303" spans="1:65" s="1" customFormat="1" ht="12.75">
      <c r="A303" s="91" t="s">
        <v>4</v>
      </c>
      <c r="B303" s="360" t="str">
        <f>Vertaling!B328</f>
      </c>
      <c r="C303" s="263" t="str">
        <f>Vertaling!$B$147</f>
      </c>
      <c r="D303" s="279">
        <f>IF(DATA!$B$129="",0,DATA!$B$129)</f>
      </c>
      <c r="E303" s="263" t="str">
        <f>Vertaling!$B$147</f>
      </c>
      <c r="F303" s="279">
        <f>IF(DATA!$B$171="",0,DATA!$B$171)</f>
      </c>
      <c r="G303" s="360"/>
      <c r="H303" s="246"/>
      <c r="I303" s="246"/>
      <c r="J303" s="246"/>
      <c r="K303" s="246"/>
      <c r="L303" s="246"/>
      <c r="M303" s="246"/>
      <c r="N303" s="246"/>
      <c r="O303" s="246"/>
      <c r="P303" s="246"/>
      <c r="Q303" s="246"/>
      <c r="R303" s="246"/>
      <c r="S303" s="246"/>
      <c r="T303" s="246"/>
      <c r="U303" s="246"/>
      <c r="V303" s="246"/>
      <c r="W303" s="246"/>
      <c r="X303" s="246"/>
      <c r="Y303" s="246"/>
      <c r="Z303" s="246"/>
      <c r="AA303" s="246"/>
      <c r="AB303" s="246"/>
      <c r="AC303" s="246"/>
      <c r="AD303" s="246"/>
      <c r="AE303" s="246"/>
      <c r="AF303" s="246"/>
      <c r="AG303" s="246"/>
      <c r="AH303" s="246"/>
      <c r="AI303" s="246"/>
      <c r="AJ303" s="246"/>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360"/>
      <c r="BL303" s="360"/>
      <c r="BM303" s="360"/>
    </row>
    <row r="304" spans="1:65" customFormat="1" ht="12.75">
      <c r="A304" s="70"/>
      <c r="B304" s="360"/>
      <c r="C304" s="271"/>
      <c r="D304" s="1"/>
      <c r="E304" s="265"/>
      <c r="F304" s="243"/>
      <c r="G304" s="1"/>
      <c r="H304" s="240"/>
      <c r="I304" s="240"/>
      <c r="J304" s="240"/>
      <c r="K304" s="240"/>
      <c r="L304" s="240"/>
      <c r="M304" s="240"/>
      <c r="N304" s="240"/>
      <c r="O304" s="240"/>
      <c r="P304" s="240"/>
      <c r="Q304" s="240"/>
      <c r="R304" s="240"/>
      <c r="S304" s="240"/>
      <c r="T304" s="240"/>
      <c r="U304" s="240"/>
      <c r="V304" s="240"/>
      <c r="W304" s="240"/>
      <c r="X304" s="240"/>
      <c r="Y304" s="240"/>
      <c r="Z304" s="240"/>
      <c r="AA304" s="240"/>
      <c r="AB304" s="240"/>
      <c r="AC304" s="240"/>
      <c r="AD304" s="240"/>
      <c r="AE304" s="240"/>
      <c r="AF304" s="240"/>
      <c r="AG304" s="240"/>
      <c r="AH304" s="240"/>
      <c r="AI304" s="240"/>
      <c r="AJ304" s="240"/>
      <c r="AK304" s="13"/>
      <c r="AL304" s="13"/>
      <c r="AM304" s="13"/>
      <c r="AN304" s="13"/>
      <c r="AO304" s="13"/>
      <c r="AP304" s="13"/>
      <c r="AQ304" s="13"/>
      <c r="AR304" s="13"/>
      <c r="AS304" s="13"/>
      <c r="AT304" s="13"/>
      <c r="AU304" s="13"/>
      <c r="AV304" s="13"/>
      <c r="AW304" s="13"/>
      <c r="AX304" s="14"/>
      <c r="AY304" s="14"/>
      <c r="AZ304" s="14"/>
      <c r="BA304" s="14"/>
      <c r="BB304" s="14"/>
      <c r="BC304" s="14"/>
      <c r="BD304" s="14"/>
      <c r="BE304" s="14"/>
      <c r="BF304" s="14"/>
      <c r="BG304" s="14"/>
      <c r="BH304" s="14"/>
      <c r="BI304" s="14"/>
      <c r="BJ304" s="14"/>
    </row>
    <row r="305" spans="1:65" s="1" customFormat="1" ht="12.75">
      <c r="A305" s="91" t="s">
        <v>4</v>
      </c>
      <c r="B305" s="360" t="str">
        <f>Vertaling!B329</f>
      </c>
      <c r="C305" s="263" t="str">
        <f>Vertaling!$B$147</f>
      </c>
      <c r="D305" s="279">
        <f>IF(DATA!$B$130="",0,DATA!$B$130)</f>
      </c>
      <c r="E305" s="263" t="str">
        <f>Vertaling!$B$147</f>
      </c>
      <c r="F305" s="279">
        <f>IF(DATA!$B$172="",0,DATA!$B$172)</f>
      </c>
      <c r="G305" s="360"/>
      <c r="H305" s="246"/>
      <c r="I305" s="246"/>
      <c r="J305" s="246"/>
      <c r="K305" s="246"/>
      <c r="L305" s="246"/>
      <c r="M305" s="246"/>
      <c r="N305" s="246"/>
      <c r="O305" s="246"/>
      <c r="P305" s="246"/>
      <c r="Q305" s="246"/>
      <c r="R305" s="246"/>
      <c r="S305" s="246"/>
      <c r="T305" s="246"/>
      <c r="U305" s="246"/>
      <c r="V305" s="246"/>
      <c r="W305" s="246"/>
      <c r="X305" s="246"/>
      <c r="Y305" s="246"/>
      <c r="Z305" s="246"/>
      <c r="AA305" s="246"/>
      <c r="AB305" s="246"/>
      <c r="AC305" s="246"/>
      <c r="AD305" s="246"/>
      <c r="AE305" s="246"/>
      <c r="AF305" s="246"/>
      <c r="AG305" s="246"/>
      <c r="AH305" s="246"/>
      <c r="AI305" s="246"/>
      <c r="AJ305" s="246"/>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360"/>
      <c r="BL305" s="360"/>
      <c r="BM305" s="360"/>
    </row>
    <row r="306" spans="1:65" customFormat="1" ht="7.5" customHeight="1">
      <c r="A306" s="236"/>
      <c r="B306" s="360"/>
      <c r="C306" s="263"/>
      <c r="D306" s="235"/>
      <c r="E306" s="263"/>
      <c r="F306" s="235"/>
      <c r="G306" s="237"/>
      <c r="H306" s="240"/>
      <c r="I306" s="240"/>
      <c r="J306" s="240"/>
      <c r="K306" s="240"/>
      <c r="L306" s="240"/>
      <c r="M306" s="240"/>
      <c r="N306" s="240"/>
      <c r="O306" s="240"/>
      <c r="P306" s="240"/>
      <c r="Q306" s="240"/>
      <c r="R306" s="240"/>
      <c r="S306" s="240"/>
      <c r="T306" s="240"/>
      <c r="U306" s="240"/>
      <c r="V306" s="240"/>
      <c r="W306" s="240"/>
      <c r="X306" s="240"/>
      <c r="Y306" s="240"/>
      <c r="Z306" s="240"/>
      <c r="AA306" s="240"/>
      <c r="AB306" s="240"/>
      <c r="AC306" s="240"/>
      <c r="AD306" s="240"/>
      <c r="AE306" s="240"/>
      <c r="AF306" s="240"/>
      <c r="AG306" s="240"/>
      <c r="AH306" s="240"/>
      <c r="AI306" s="240"/>
      <c r="AJ306" s="240"/>
      <c r="AK306" s="13"/>
      <c r="AL306" s="13"/>
      <c r="AM306" s="13"/>
      <c r="AN306" s="13"/>
      <c r="AO306" s="13"/>
      <c r="AP306" s="13"/>
      <c r="AQ306" s="13"/>
      <c r="AR306" s="13"/>
      <c r="AS306" s="13"/>
      <c r="AT306" s="13"/>
      <c r="AU306" s="13"/>
      <c r="AV306" s="13"/>
      <c r="AW306" s="13"/>
      <c r="AX306" s="14"/>
      <c r="AY306" s="14"/>
      <c r="AZ306" s="14"/>
      <c r="BA306" s="14"/>
      <c r="BB306" s="14"/>
      <c r="BC306" s="14"/>
      <c r="BD306" s="14"/>
      <c r="BE306" s="14"/>
      <c r="BF306" s="14"/>
      <c r="BG306" s="14"/>
      <c r="BH306" s="14"/>
      <c r="BI306" s="14"/>
      <c r="BJ306" s="14"/>
    </row>
    <row r="307" spans="1:65" s="1" customFormat="1" ht="12.75">
      <c r="A307" s="91" t="s">
        <v>4</v>
      </c>
      <c r="B307" s="360" t="str">
        <f>Vertaling!B330</f>
      </c>
      <c r="C307" s="263" t="str">
        <f>Vertaling!$B$147</f>
      </c>
      <c r="D307" s="279">
        <f>IF(DATA!$B$131="",0,DATA!$B$131)</f>
      </c>
      <c r="E307" s="263" t="str">
        <f>Vertaling!$B$147</f>
      </c>
      <c r="F307" s="279">
        <f>IF(DATA!$B$173="",0,DATA!$B$173)</f>
      </c>
      <c r="G307" s="360"/>
      <c r="H307" s="246"/>
      <c r="I307" s="246"/>
      <c r="J307" s="246"/>
      <c r="K307" s="246"/>
      <c r="L307" s="246"/>
      <c r="M307" s="246"/>
      <c r="N307" s="246"/>
      <c r="O307" s="246"/>
      <c r="P307" s="246"/>
      <c r="Q307" s="246"/>
      <c r="R307" s="246"/>
      <c r="S307" s="246"/>
      <c r="T307" s="246"/>
      <c r="U307" s="246"/>
      <c r="V307" s="246"/>
      <c r="W307" s="246"/>
      <c r="X307" s="246"/>
      <c r="Y307" s="246"/>
      <c r="Z307" s="246"/>
      <c r="AA307" s="246"/>
      <c r="AB307" s="246"/>
      <c r="AC307" s="246"/>
      <c r="AD307" s="246"/>
      <c r="AE307" s="246"/>
      <c r="AF307" s="246"/>
      <c r="AG307" s="246"/>
      <c r="AH307" s="246"/>
      <c r="AI307" s="246"/>
      <c r="AJ307" s="246"/>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360"/>
      <c r="BL307" s="360"/>
      <c r="BM307" s="360"/>
    </row>
    <row r="308" spans="1:65" customFormat="1" ht="7.5" customHeight="1">
      <c r="A308" s="236"/>
      <c r="B308" s="360"/>
      <c r="C308" s="263"/>
      <c r="D308" s="235"/>
      <c r="E308" s="263"/>
      <c r="F308" s="235"/>
      <c r="G308" s="237"/>
      <c r="H308" s="240"/>
      <c r="I308" s="240"/>
      <c r="J308" s="240"/>
      <c r="K308" s="240"/>
      <c r="L308" s="240"/>
      <c r="M308" s="240"/>
      <c r="N308" s="240"/>
      <c r="O308" s="240"/>
      <c r="P308" s="240"/>
      <c r="Q308" s="240"/>
      <c r="R308" s="240"/>
      <c r="S308" s="240"/>
      <c r="T308" s="240"/>
      <c r="U308" s="240"/>
      <c r="V308" s="240"/>
      <c r="W308" s="240"/>
      <c r="X308" s="240"/>
      <c r="Y308" s="240"/>
      <c r="Z308" s="240"/>
      <c r="AA308" s="240"/>
      <c r="AB308" s="240"/>
      <c r="AC308" s="240"/>
      <c r="AD308" s="240"/>
      <c r="AE308" s="240"/>
      <c r="AF308" s="240"/>
      <c r="AG308" s="240"/>
      <c r="AH308" s="240"/>
      <c r="AI308" s="240"/>
      <c r="AJ308" s="240"/>
      <c r="AK308" s="13"/>
      <c r="AL308" s="13"/>
      <c r="AM308" s="13"/>
      <c r="AN308" s="13"/>
      <c r="AO308" s="13"/>
      <c r="AP308" s="13"/>
      <c r="AQ308" s="13"/>
      <c r="AR308" s="13"/>
      <c r="AS308" s="13"/>
      <c r="AT308" s="13"/>
      <c r="AU308" s="13"/>
      <c r="AV308" s="13"/>
      <c r="AW308" s="13"/>
      <c r="AX308" s="14"/>
      <c r="AY308" s="14"/>
      <c r="AZ308" s="14"/>
      <c r="BA308" s="14"/>
      <c r="BB308" s="14"/>
      <c r="BC308" s="14"/>
      <c r="BD308" s="14"/>
      <c r="BE308" s="14"/>
      <c r="BF308" s="14"/>
      <c r="BG308" s="14"/>
      <c r="BH308" s="14"/>
      <c r="BI308" s="14"/>
      <c r="BJ308" s="14"/>
    </row>
    <row r="309" spans="1:65" s="1" customFormat="1" ht="12.75">
      <c r="A309" s="91" t="s">
        <v>4</v>
      </c>
      <c r="B309" s="360" t="str">
        <f>Vertaling!B331</f>
      </c>
      <c r="C309" s="263" t="str">
        <f>Vertaling!$B$147</f>
      </c>
      <c r="D309" s="279">
        <f>IF(DATA!$B$132="",0,DATA!$B$132)</f>
      </c>
      <c r="E309" s="263" t="str">
        <f>Vertaling!$B$147</f>
      </c>
      <c r="F309" s="279">
        <f>IF(DATA!$B$174="",0,DATA!$B$174)</f>
      </c>
      <c r="G309" s="360"/>
      <c r="H309" s="246"/>
      <c r="I309" s="246"/>
      <c r="J309" s="246"/>
      <c r="K309" s="246"/>
      <c r="L309" s="246"/>
      <c r="M309" s="246"/>
      <c r="N309" s="246"/>
      <c r="O309" s="246"/>
      <c r="P309" s="246"/>
      <c r="Q309" s="246"/>
      <c r="R309" s="246"/>
      <c r="S309" s="246"/>
      <c r="T309" s="246"/>
      <c r="U309" s="246"/>
      <c r="V309" s="246"/>
      <c r="W309" s="246"/>
      <c r="X309" s="246"/>
      <c r="Y309" s="246"/>
      <c r="Z309" s="246"/>
      <c r="AA309" s="246"/>
      <c r="AB309" s="246"/>
      <c r="AC309" s="246"/>
      <c r="AD309" s="246"/>
      <c r="AE309" s="246"/>
      <c r="AF309" s="246"/>
      <c r="AG309" s="246"/>
      <c r="AH309" s="246"/>
      <c r="AI309" s="246"/>
      <c r="AJ309" s="246"/>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360"/>
      <c r="BL309" s="360"/>
      <c r="BM309" s="360"/>
    </row>
    <row r="310" spans="1:65" customFormat="1" ht="7.5" customHeight="1">
      <c r="A310" s="236"/>
      <c r="B310" s="360"/>
      <c r="C310" s="263"/>
      <c r="D310" s="235"/>
      <c r="E310" s="263"/>
      <c r="F310" s="235"/>
      <c r="G310" s="237"/>
      <c r="H310" s="240"/>
      <c r="I310" s="240"/>
      <c r="J310" s="240"/>
      <c r="K310" s="240"/>
      <c r="L310" s="240"/>
      <c r="M310" s="240"/>
      <c r="N310" s="240"/>
      <c r="O310" s="240"/>
      <c r="P310" s="240"/>
      <c r="Q310" s="240"/>
      <c r="R310" s="240"/>
      <c r="S310" s="240"/>
      <c r="T310" s="240"/>
      <c r="U310" s="240"/>
      <c r="V310" s="240"/>
      <c r="W310" s="240"/>
      <c r="X310" s="240"/>
      <c r="Y310" s="240"/>
      <c r="Z310" s="240"/>
      <c r="AA310" s="240"/>
      <c r="AB310" s="240"/>
      <c r="AC310" s="240"/>
      <c r="AD310" s="240"/>
      <c r="AE310" s="240"/>
      <c r="AF310" s="240"/>
      <c r="AG310" s="240"/>
      <c r="AH310" s="240"/>
      <c r="AI310" s="240"/>
      <c r="AJ310" s="240"/>
      <c r="AK310" s="13"/>
      <c r="AL310" s="13"/>
      <c r="AM310" s="13"/>
      <c r="AN310" s="13"/>
      <c r="AO310" s="13"/>
      <c r="AP310" s="13"/>
      <c r="AQ310" s="13"/>
      <c r="AR310" s="13"/>
      <c r="AS310" s="13"/>
      <c r="AT310" s="13"/>
      <c r="AU310" s="13"/>
      <c r="AV310" s="13"/>
      <c r="AW310" s="13"/>
      <c r="AX310" s="14"/>
      <c r="AY310" s="14"/>
      <c r="AZ310" s="14"/>
      <c r="BA310" s="14"/>
      <c r="BB310" s="14"/>
      <c r="BC310" s="14"/>
      <c r="BD310" s="14"/>
      <c r="BE310" s="14"/>
      <c r="BF310" s="14"/>
      <c r="BG310" s="14"/>
      <c r="BH310" s="14"/>
      <c r="BI310" s="14"/>
      <c r="BJ310" s="14"/>
    </row>
    <row r="311" spans="1:65" s="1" customFormat="1" ht="12.75">
      <c r="A311" s="91" t="s">
        <v>4</v>
      </c>
      <c r="B311" s="360" t="str">
        <f>Vertaling!B332</f>
      </c>
      <c r="C311" s="263" t="str">
        <f>Vertaling!$B$147</f>
      </c>
      <c r="D311" s="279">
        <f>IF(DATA!$B$133="",0,DATA!$B$133)</f>
      </c>
      <c r="E311" s="263" t="str">
        <f>Vertaling!$B$147</f>
      </c>
      <c r="F311" s="279">
        <f>IF(DATA!$B$175="",0,DATA!$B$175)</f>
      </c>
      <c r="G311" s="360"/>
      <c r="H311" s="246"/>
      <c r="I311" s="246"/>
      <c r="J311" s="246"/>
      <c r="K311" s="246"/>
      <c r="L311" s="246"/>
      <c r="M311" s="246"/>
      <c r="N311" s="246"/>
      <c r="O311" s="246"/>
      <c r="P311" s="246"/>
      <c r="Q311" s="246"/>
      <c r="R311" s="246"/>
      <c r="S311" s="246"/>
      <c r="T311" s="246"/>
      <c r="U311" s="246"/>
      <c r="V311" s="246"/>
      <c r="W311" s="246"/>
      <c r="X311" s="246"/>
      <c r="Y311" s="246"/>
      <c r="Z311" s="246"/>
      <c r="AA311" s="246"/>
      <c r="AB311" s="246"/>
      <c r="AC311" s="246"/>
      <c r="AD311" s="246"/>
      <c r="AE311" s="246"/>
      <c r="AF311" s="246"/>
      <c r="AG311" s="246"/>
      <c r="AH311" s="246"/>
      <c r="AI311" s="246"/>
      <c r="AJ311" s="246"/>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360"/>
      <c r="BL311" s="360"/>
      <c r="BM311" s="360"/>
    </row>
    <row r="312" spans="1:65" customFormat="1" ht="7.5" customHeight="1">
      <c r="A312" s="236"/>
      <c r="B312" s="360"/>
      <c r="C312" s="263"/>
      <c r="D312" s="235"/>
      <c r="E312" s="263"/>
      <c r="F312" s="235"/>
      <c r="G312" s="237"/>
      <c r="H312" s="240"/>
      <c r="I312" s="240"/>
      <c r="J312" s="240"/>
      <c r="K312" s="240"/>
      <c r="L312" s="240"/>
      <c r="M312" s="240"/>
      <c r="N312" s="240"/>
      <c r="O312" s="240"/>
      <c r="P312" s="240"/>
      <c r="Q312" s="240"/>
      <c r="R312" s="240"/>
      <c r="S312" s="240"/>
      <c r="T312" s="240"/>
      <c r="U312" s="240"/>
      <c r="V312" s="240"/>
      <c r="W312" s="240"/>
      <c r="X312" s="240"/>
      <c r="Y312" s="240"/>
      <c r="Z312" s="240"/>
      <c r="AA312" s="240"/>
      <c r="AB312" s="240"/>
      <c r="AC312" s="240"/>
      <c r="AD312" s="240"/>
      <c r="AE312" s="240"/>
      <c r="AF312" s="240"/>
      <c r="AG312" s="240"/>
      <c r="AH312" s="240"/>
      <c r="AI312" s="240"/>
      <c r="AJ312" s="240"/>
      <c r="AK312" s="13"/>
      <c r="AL312" s="13"/>
      <c r="AM312" s="13"/>
      <c r="AN312" s="13"/>
      <c r="AO312" s="13"/>
      <c r="AP312" s="13"/>
      <c r="AQ312" s="13"/>
      <c r="AR312" s="13"/>
      <c r="AS312" s="13"/>
      <c r="AT312" s="13"/>
      <c r="AU312" s="13"/>
      <c r="AV312" s="13"/>
      <c r="AW312" s="13"/>
      <c r="AX312" s="14"/>
      <c r="AY312" s="14"/>
      <c r="AZ312" s="14"/>
      <c r="BA312" s="14"/>
      <c r="BB312" s="14"/>
      <c r="BC312" s="14"/>
      <c r="BD312" s="14"/>
      <c r="BE312" s="14"/>
      <c r="BF312" s="14"/>
      <c r="BG312" s="14"/>
      <c r="BH312" s="14"/>
      <c r="BI312" s="14"/>
      <c r="BJ312" s="14"/>
    </row>
    <row r="313" spans="1:65" s="1" customFormat="1" ht="12.75">
      <c r="A313" s="91" t="s">
        <v>4</v>
      </c>
      <c r="B313" s="360" t="str">
        <f>Vertaling!B333</f>
      </c>
      <c r="C313" s="263" t="str">
        <f>Vertaling!$B$147</f>
      </c>
      <c r="D313" s="279">
        <f>IF(DATA!$B$134="",0,DATA!$B$134)</f>
      </c>
      <c r="E313" s="263" t="str">
        <f>Vertaling!$B$147</f>
      </c>
      <c r="F313" s="279">
        <f>IF(DATA!$B$176="",0,DATA!$B$176)</f>
      </c>
      <c r="G313" s="360"/>
      <c r="H313" s="246"/>
      <c r="I313" s="246"/>
      <c r="J313" s="246"/>
      <c r="K313" s="246"/>
      <c r="L313" s="246"/>
      <c r="M313" s="246"/>
      <c r="N313" s="246"/>
      <c r="O313" s="246"/>
      <c r="P313" s="246"/>
      <c r="Q313" s="246"/>
      <c r="R313" s="246"/>
      <c r="S313" s="246"/>
      <c r="T313" s="246"/>
      <c r="U313" s="246"/>
      <c r="V313" s="246"/>
      <c r="W313" s="246"/>
      <c r="X313" s="246"/>
      <c r="Y313" s="246"/>
      <c r="Z313" s="246"/>
      <c r="AA313" s="246"/>
      <c r="AB313" s="246"/>
      <c r="AC313" s="246"/>
      <c r="AD313" s="246"/>
      <c r="AE313" s="246"/>
      <c r="AF313" s="246"/>
      <c r="AG313" s="246"/>
      <c r="AH313" s="246"/>
      <c r="AI313" s="246"/>
      <c r="AJ313" s="246"/>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360"/>
      <c r="BL313" s="360"/>
      <c r="BM313" s="360"/>
    </row>
    <row r="314" spans="1:65" customFormat="1" ht="7.5" customHeight="1">
      <c r="A314" s="236"/>
      <c r="B314" s="360"/>
      <c r="C314" s="263"/>
      <c r="D314" s="235"/>
      <c r="E314" s="263"/>
      <c r="F314" s="235"/>
      <c r="G314" s="237"/>
      <c r="H314" s="240"/>
      <c r="I314" s="240"/>
      <c r="J314" s="240"/>
      <c r="K314" s="240"/>
      <c r="L314" s="240"/>
      <c r="M314" s="240"/>
      <c r="N314" s="240"/>
      <c r="O314" s="240"/>
      <c r="P314" s="240"/>
      <c r="Q314" s="240"/>
      <c r="R314" s="240"/>
      <c r="S314" s="240"/>
      <c r="T314" s="240"/>
      <c r="U314" s="240"/>
      <c r="V314" s="240"/>
      <c r="W314" s="240"/>
      <c r="X314" s="240"/>
      <c r="Y314" s="240"/>
      <c r="Z314" s="240"/>
      <c r="AA314" s="240"/>
      <c r="AB314" s="240"/>
      <c r="AC314" s="240"/>
      <c r="AD314" s="240"/>
      <c r="AE314" s="240"/>
      <c r="AF314" s="240"/>
      <c r="AG314" s="240"/>
      <c r="AH314" s="240"/>
      <c r="AI314" s="240"/>
      <c r="AJ314" s="240"/>
      <c r="AK314" s="13"/>
      <c r="AL314" s="13"/>
      <c r="AM314" s="13"/>
      <c r="AN314" s="13"/>
      <c r="AO314" s="13"/>
      <c r="AP314" s="13"/>
      <c r="AQ314" s="13"/>
      <c r="AR314" s="13"/>
      <c r="AS314" s="13"/>
      <c r="AT314" s="13"/>
      <c r="AU314" s="13"/>
      <c r="AV314" s="13"/>
      <c r="AW314" s="13"/>
      <c r="AX314" s="14"/>
      <c r="AY314" s="14"/>
      <c r="AZ314" s="14"/>
      <c r="BA314" s="14"/>
      <c r="BB314" s="14"/>
      <c r="BC314" s="14"/>
      <c r="BD314" s="14"/>
      <c r="BE314" s="14"/>
      <c r="BF314" s="14"/>
      <c r="BG314" s="14"/>
      <c r="BH314" s="14"/>
      <c r="BI314" s="14"/>
      <c r="BJ314" s="14"/>
    </row>
    <row r="315" spans="1:65" s="1" customFormat="1" ht="12.75">
      <c r="A315" s="91" t="s">
        <v>4</v>
      </c>
      <c r="B315" s="360" t="str">
        <f>Vertaling!B334</f>
      </c>
      <c r="C315" s="263" t="str">
        <f>Vertaling!$B$147</f>
      </c>
      <c r="D315" s="279">
        <f>IF(DATA!$B$135="",0,DATA!$B$135)</f>
      </c>
      <c r="E315" s="263" t="str">
        <f>Vertaling!$B$147</f>
      </c>
      <c r="F315" s="279">
        <f>IF(DATA!$B$177="",0,DATA!$B$177)</f>
      </c>
      <c r="G315" s="360"/>
      <c r="H315" s="246"/>
      <c r="I315" s="246"/>
      <c r="J315" s="246"/>
      <c r="K315" s="246"/>
      <c r="L315" s="246"/>
      <c r="M315" s="246"/>
      <c r="N315" s="246"/>
      <c r="O315" s="246"/>
      <c r="P315" s="246"/>
      <c r="Q315" s="246"/>
      <c r="R315" s="246"/>
      <c r="S315" s="246"/>
      <c r="T315" s="246"/>
      <c r="U315" s="246"/>
      <c r="V315" s="246"/>
      <c r="W315" s="246"/>
      <c r="X315" s="246"/>
      <c r="Y315" s="246"/>
      <c r="Z315" s="246"/>
      <c r="AA315" s="246"/>
      <c r="AB315" s="246"/>
      <c r="AC315" s="246"/>
      <c r="AD315" s="246"/>
      <c r="AE315" s="246"/>
      <c r="AF315" s="246"/>
      <c r="AG315" s="246"/>
      <c r="AH315" s="246"/>
      <c r="AI315" s="246"/>
      <c r="AJ315" s="246"/>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360"/>
      <c r="BL315" s="360"/>
      <c r="BM315" s="360"/>
    </row>
    <row r="316" spans="1:65" customFormat="1" ht="7.5" customHeight="1">
      <c r="A316" s="236"/>
      <c r="B316" s="360"/>
      <c r="C316" s="263"/>
      <c r="D316" s="235"/>
      <c r="E316" s="263"/>
      <c r="F316" s="235"/>
      <c r="G316" s="237"/>
      <c r="H316" s="240"/>
      <c r="I316" s="240"/>
      <c r="J316" s="240"/>
      <c r="K316" s="240"/>
      <c r="L316" s="240"/>
      <c r="M316" s="240"/>
      <c r="N316" s="240"/>
      <c r="O316" s="240"/>
      <c r="P316" s="240"/>
      <c r="Q316" s="240"/>
      <c r="R316" s="240"/>
      <c r="S316" s="240"/>
      <c r="T316" s="240"/>
      <c r="U316" s="240"/>
      <c r="V316" s="240"/>
      <c r="W316" s="240"/>
      <c r="X316" s="240"/>
      <c r="Y316" s="240"/>
      <c r="Z316" s="240"/>
      <c r="AA316" s="240"/>
      <c r="AB316" s="240"/>
      <c r="AC316" s="240"/>
      <c r="AD316" s="240"/>
      <c r="AE316" s="240"/>
      <c r="AF316" s="240"/>
      <c r="AG316" s="240"/>
      <c r="AH316" s="240"/>
      <c r="AI316" s="240"/>
      <c r="AJ316" s="240"/>
      <c r="AK316" s="13"/>
      <c r="AL316" s="13"/>
      <c r="AM316" s="13"/>
      <c r="AN316" s="13"/>
      <c r="AO316" s="13"/>
      <c r="AP316" s="13"/>
      <c r="AQ316" s="13"/>
      <c r="AR316" s="13"/>
      <c r="AS316" s="13"/>
      <c r="AT316" s="13"/>
      <c r="AU316" s="13"/>
      <c r="AV316" s="13"/>
      <c r="AW316" s="13"/>
      <c r="AX316" s="14"/>
      <c r="AY316" s="14"/>
      <c r="AZ316" s="14"/>
      <c r="BA316" s="14"/>
      <c r="BB316" s="14"/>
      <c r="BC316" s="14"/>
      <c r="BD316" s="14"/>
      <c r="BE316" s="14"/>
      <c r="BF316" s="14"/>
      <c r="BG316" s="14"/>
      <c r="BH316" s="14"/>
      <c r="BI316" s="14"/>
      <c r="BJ316" s="14"/>
    </row>
    <row r="317" spans="1:65" s="1" customFormat="1" ht="12.75">
      <c r="A317" s="91" t="s">
        <v>4</v>
      </c>
      <c r="B317" s="360" t="str">
        <f>Vertaling!B335</f>
      </c>
      <c r="C317" s="263" t="str">
        <f>Vertaling!$B$147</f>
      </c>
      <c r="D317" s="279">
        <f>IF(DATA!$B$136="",0,DATA!$B$136)</f>
      </c>
      <c r="E317" s="263" t="str">
        <f>Vertaling!$B$147</f>
      </c>
      <c r="F317" s="279">
        <f>IF(DATA!$B$178="",0,DATA!$B$178)</f>
      </c>
      <c r="G317" s="360"/>
      <c r="H317" s="246"/>
      <c r="I317" s="246"/>
      <c r="J317" s="246"/>
      <c r="K317" s="246"/>
      <c r="L317" s="246"/>
      <c r="M317" s="246"/>
      <c r="N317" s="246"/>
      <c r="O317" s="246"/>
      <c r="P317" s="246"/>
      <c r="Q317" s="246"/>
      <c r="R317" s="246"/>
      <c r="S317" s="246"/>
      <c r="T317" s="246"/>
      <c r="U317" s="246"/>
      <c r="V317" s="246"/>
      <c r="W317" s="246"/>
      <c r="X317" s="246"/>
      <c r="Y317" s="246"/>
      <c r="Z317" s="246"/>
      <c r="AA317" s="246"/>
      <c r="AB317" s="246"/>
      <c r="AC317" s="246"/>
      <c r="AD317" s="246"/>
      <c r="AE317" s="246"/>
      <c r="AF317" s="246"/>
      <c r="AG317" s="246"/>
      <c r="AH317" s="246"/>
      <c r="AI317" s="246"/>
      <c r="AJ317" s="246"/>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360"/>
      <c r="BL317" s="360"/>
      <c r="BM317" s="360"/>
    </row>
    <row r="318" spans="1:65" customFormat="1" ht="7.5" customHeight="1">
      <c r="A318" s="236"/>
      <c r="B318" s="360"/>
      <c r="C318" s="263"/>
      <c r="D318" s="235"/>
      <c r="E318" s="263"/>
      <c r="F318" s="235"/>
      <c r="G318" s="237"/>
      <c r="H318" s="240"/>
      <c r="I318" s="240"/>
      <c r="J318" s="240"/>
      <c r="K318" s="240"/>
      <c r="L318" s="240"/>
      <c r="M318" s="240"/>
      <c r="N318" s="240"/>
      <c r="O318" s="240"/>
      <c r="P318" s="240"/>
      <c r="Q318" s="240"/>
      <c r="R318" s="240"/>
      <c r="S318" s="240"/>
      <c r="T318" s="240"/>
      <c r="U318" s="240"/>
      <c r="V318" s="240"/>
      <c r="W318" s="240"/>
      <c r="X318" s="240"/>
      <c r="Y318" s="240"/>
      <c r="Z318" s="240"/>
      <c r="AA318" s="240"/>
      <c r="AB318" s="240"/>
      <c r="AC318" s="240"/>
      <c r="AD318" s="240"/>
      <c r="AE318" s="240"/>
      <c r="AF318" s="240"/>
      <c r="AG318" s="240"/>
      <c r="AH318" s="240"/>
      <c r="AI318" s="240"/>
      <c r="AJ318" s="240"/>
      <c r="AK318" s="13"/>
      <c r="AL318" s="13"/>
      <c r="AM318" s="13"/>
      <c r="AN318" s="13"/>
      <c r="AO318" s="13"/>
      <c r="AP318" s="13"/>
      <c r="AQ318" s="13"/>
      <c r="AR318" s="13"/>
      <c r="AS318" s="13"/>
      <c r="AT318" s="13"/>
      <c r="AU318" s="13"/>
      <c r="AV318" s="13"/>
      <c r="AW318" s="13"/>
      <c r="AX318" s="14"/>
      <c r="AY318" s="14"/>
      <c r="AZ318" s="14"/>
      <c r="BA318" s="14"/>
      <c r="BB318" s="14"/>
      <c r="BC318" s="14"/>
      <c r="BD318" s="14"/>
      <c r="BE318" s="14"/>
      <c r="BF318" s="14"/>
      <c r="BG318" s="14"/>
      <c r="BH318" s="14"/>
      <c r="BI318" s="14"/>
      <c r="BJ318" s="14"/>
    </row>
    <row r="319" spans="1:65" s="1" customFormat="1" ht="12.75">
      <c r="A319" s="91" t="s">
        <v>4</v>
      </c>
      <c r="B319" s="360" t="str">
        <f>Vertaling!B336</f>
      </c>
      <c r="C319" s="263" t="str">
        <f>Vertaling!$B$147</f>
      </c>
      <c r="D319" s="279">
        <f>IF(DATA!$B$137="",0,DATA!$B$137)</f>
      </c>
      <c r="E319" s="263" t="str">
        <f>Vertaling!$B$147</f>
      </c>
      <c r="F319" s="279">
        <f>IF(DATA!$B$179="",0,DATA!$B$179)</f>
      </c>
      <c r="G319" s="360"/>
      <c r="H319" s="246"/>
      <c r="I319" s="246"/>
      <c r="J319" s="246"/>
      <c r="K319" s="246"/>
      <c r="L319" s="246"/>
      <c r="M319" s="246"/>
      <c r="N319" s="246"/>
      <c r="O319" s="246"/>
      <c r="P319" s="246"/>
      <c r="Q319" s="246"/>
      <c r="R319" s="246"/>
      <c r="S319" s="246"/>
      <c r="T319" s="246"/>
      <c r="U319" s="246"/>
      <c r="V319" s="246"/>
      <c r="W319" s="246"/>
      <c r="X319" s="246"/>
      <c r="Y319" s="246"/>
      <c r="Z319" s="246"/>
      <c r="AA319" s="246"/>
      <c r="AB319" s="246"/>
      <c r="AC319" s="246"/>
      <c r="AD319" s="246"/>
      <c r="AE319" s="246"/>
      <c r="AF319" s="246"/>
      <c r="AG319" s="246"/>
      <c r="AH319" s="246"/>
      <c r="AI319" s="246"/>
      <c r="AJ319" s="246"/>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360"/>
      <c r="BL319" s="360"/>
      <c r="BM319" s="360"/>
    </row>
    <row r="320" spans="1:65" customFormat="1" ht="7.5" customHeight="1">
      <c r="A320" s="236"/>
      <c r="B320" s="360"/>
      <c r="C320" s="263"/>
      <c r="D320" s="235"/>
      <c r="E320" s="263"/>
      <c r="F320" s="235"/>
      <c r="G320" s="237"/>
      <c r="H320" s="240"/>
      <c r="I320" s="240"/>
      <c r="J320" s="240"/>
      <c r="K320" s="240"/>
      <c r="L320" s="240"/>
      <c r="M320" s="240"/>
      <c r="N320" s="240"/>
      <c r="O320" s="240"/>
      <c r="P320" s="240"/>
      <c r="Q320" s="240"/>
      <c r="R320" s="240"/>
      <c r="S320" s="240"/>
      <c r="T320" s="240"/>
      <c r="U320" s="240"/>
      <c r="V320" s="240"/>
      <c r="W320" s="240"/>
      <c r="X320" s="240"/>
      <c r="Y320" s="240"/>
      <c r="Z320" s="240"/>
      <c r="AA320" s="240"/>
      <c r="AB320" s="240"/>
      <c r="AC320" s="240"/>
      <c r="AD320" s="240"/>
      <c r="AE320" s="240"/>
      <c r="AF320" s="240"/>
      <c r="AG320" s="240"/>
      <c r="AH320" s="240"/>
      <c r="AI320" s="240"/>
      <c r="AJ320" s="240"/>
      <c r="AK320" s="13"/>
      <c r="AL320" s="13"/>
      <c r="AM320" s="13"/>
      <c r="AN320" s="13"/>
      <c r="AO320" s="13"/>
      <c r="AP320" s="13"/>
      <c r="AQ320" s="13"/>
      <c r="AR320" s="13"/>
      <c r="AS320" s="13"/>
      <c r="AT320" s="13"/>
      <c r="AU320" s="13"/>
      <c r="AV320" s="13"/>
      <c r="AW320" s="13"/>
      <c r="AX320" s="14"/>
      <c r="AY320" s="14"/>
      <c r="AZ320" s="14"/>
      <c r="BA320" s="14"/>
      <c r="BB320" s="14"/>
      <c r="BC320" s="14"/>
      <c r="BD320" s="14"/>
      <c r="BE320" s="14"/>
      <c r="BF320" s="14"/>
      <c r="BG320" s="14"/>
      <c r="BH320" s="14"/>
      <c r="BI320" s="14"/>
      <c r="BJ320" s="14"/>
    </row>
    <row r="321" spans="1:65" s="1" customFormat="1" ht="12.75">
      <c r="A321" s="91" t="s">
        <v>4</v>
      </c>
      <c r="B321" s="360" t="str">
        <f>Vertaling!B337</f>
      </c>
      <c r="C321" s="263" t="str">
        <f>Vertaling!$B$147</f>
      </c>
      <c r="D321" s="279">
        <f>IF(DATA!$B$138="",0,DATA!$B$138)</f>
      </c>
      <c r="E321" s="263" t="str">
        <f>Vertaling!$B$147</f>
      </c>
      <c r="F321" s="279">
        <f>IF(DATA!$B$180="",0,DATA!$B$180)</f>
      </c>
      <c r="G321" s="360"/>
      <c r="H321" s="246"/>
      <c r="I321" s="246"/>
      <c r="J321" s="246"/>
      <c r="K321" s="246"/>
      <c r="L321" s="246"/>
      <c r="M321" s="246"/>
      <c r="N321" s="246"/>
      <c r="O321" s="246"/>
      <c r="P321" s="246"/>
      <c r="Q321" s="246"/>
      <c r="R321" s="246"/>
      <c r="S321" s="246"/>
      <c r="T321" s="246"/>
      <c r="U321" s="246"/>
      <c r="V321" s="246"/>
      <c r="W321" s="246"/>
      <c r="X321" s="246"/>
      <c r="Y321" s="246"/>
      <c r="Z321" s="246"/>
      <c r="AA321" s="246"/>
      <c r="AB321" s="246"/>
      <c r="AC321" s="246"/>
      <c r="AD321" s="246"/>
      <c r="AE321" s="246"/>
      <c r="AF321" s="246"/>
      <c r="AG321" s="246"/>
      <c r="AH321" s="246"/>
      <c r="AI321" s="246"/>
      <c r="AJ321" s="246"/>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360"/>
      <c r="BL321" s="360"/>
      <c r="BM321" s="360"/>
    </row>
    <row r="322" spans="1:65" customFormat="1" ht="7.5" customHeight="1">
      <c r="A322" s="236"/>
      <c r="B322" s="360"/>
      <c r="C322" s="263"/>
      <c r="D322" s="235"/>
      <c r="E322" s="263"/>
      <c r="F322" s="235"/>
      <c r="G322" s="237"/>
      <c r="H322" s="240"/>
      <c r="I322" s="240"/>
      <c r="J322" s="240"/>
      <c r="K322" s="240"/>
      <c r="L322" s="240"/>
      <c r="M322" s="240"/>
      <c r="N322" s="240"/>
      <c r="O322" s="240"/>
      <c r="P322" s="240"/>
      <c r="Q322" s="240"/>
      <c r="R322" s="240"/>
      <c r="S322" s="240"/>
      <c r="T322" s="240"/>
      <c r="U322" s="240"/>
      <c r="V322" s="240"/>
      <c r="W322" s="240"/>
      <c r="X322" s="240"/>
      <c r="Y322" s="240"/>
      <c r="Z322" s="240"/>
      <c r="AA322" s="240"/>
      <c r="AB322" s="240"/>
      <c r="AC322" s="240"/>
      <c r="AD322" s="240"/>
      <c r="AE322" s="240"/>
      <c r="AF322" s="240"/>
      <c r="AG322" s="240"/>
      <c r="AH322" s="240"/>
      <c r="AI322" s="240"/>
      <c r="AJ322" s="240"/>
      <c r="AK322" s="13"/>
      <c r="AL322" s="13"/>
      <c r="AM322" s="13"/>
      <c r="AN322" s="13"/>
      <c r="AO322" s="13"/>
      <c r="AP322" s="13"/>
      <c r="AQ322" s="13"/>
      <c r="AR322" s="13"/>
      <c r="AS322" s="13"/>
      <c r="AT322" s="13"/>
      <c r="AU322" s="13"/>
      <c r="AV322" s="13"/>
      <c r="AW322" s="13"/>
      <c r="AX322" s="14"/>
      <c r="AY322" s="14"/>
      <c r="AZ322" s="14"/>
      <c r="BA322" s="14"/>
      <c r="BB322" s="14"/>
      <c r="BC322" s="14"/>
      <c r="BD322" s="14"/>
      <c r="BE322" s="14"/>
      <c r="BF322" s="14"/>
      <c r="BG322" s="14"/>
      <c r="BH322" s="14"/>
      <c r="BI322" s="14"/>
      <c r="BJ322" s="14"/>
    </row>
    <row r="323" spans="1:65" s="1" customFormat="1" ht="12.75">
      <c r="A323" s="91" t="s">
        <v>4</v>
      </c>
      <c r="B323" s="360" t="str">
        <f>Vertaling!B338</f>
      </c>
      <c r="C323" s="263" t="str">
        <f>Vertaling!$B$147</f>
      </c>
      <c r="D323" s="279">
        <f>IF(DATA!$B$139="",0,DATA!$B$139)</f>
      </c>
      <c r="E323" s="263" t="str">
        <f>Vertaling!$B$147</f>
      </c>
      <c r="F323" s="279">
        <f>IF(DATA!$B$181="",0,DATA!$B$181)</f>
      </c>
      <c r="G323" s="360"/>
      <c r="H323" s="246"/>
      <c r="I323" s="246"/>
      <c r="J323" s="246"/>
      <c r="K323" s="246"/>
      <c r="L323" s="246"/>
      <c r="M323" s="246"/>
      <c r="N323" s="246"/>
      <c r="O323" s="246"/>
      <c r="P323" s="246"/>
      <c r="Q323" s="246"/>
      <c r="R323" s="246"/>
      <c r="S323" s="246"/>
      <c r="T323" s="246"/>
      <c r="U323" s="246"/>
      <c r="V323" s="246"/>
      <c r="W323" s="246"/>
      <c r="X323" s="246"/>
      <c r="Y323" s="246"/>
      <c r="Z323" s="246"/>
      <c r="AA323" s="246"/>
      <c r="AB323" s="246"/>
      <c r="AC323" s="246"/>
      <c r="AD323" s="246"/>
      <c r="AE323" s="246"/>
      <c r="AF323" s="246"/>
      <c r="AG323" s="246"/>
      <c r="AH323" s="246"/>
      <c r="AI323" s="246"/>
      <c r="AJ323" s="246"/>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360"/>
      <c r="BL323" s="360"/>
      <c r="BM323" s="360"/>
    </row>
    <row r="324" spans="1:65" customFormat="1" ht="7.5" customHeight="1">
      <c r="A324" s="236"/>
      <c r="B324" s="360"/>
      <c r="C324" s="263"/>
      <c r="D324" s="235"/>
      <c r="E324" s="263"/>
      <c r="F324" s="235"/>
      <c r="G324" s="237"/>
      <c r="H324" s="240"/>
      <c r="I324" s="240"/>
      <c r="J324" s="240"/>
      <c r="K324" s="240"/>
      <c r="L324" s="240"/>
      <c r="M324" s="240"/>
      <c r="N324" s="240"/>
      <c r="O324" s="240"/>
      <c r="P324" s="240"/>
      <c r="Q324" s="240"/>
      <c r="R324" s="240"/>
      <c r="S324" s="240"/>
      <c r="T324" s="240"/>
      <c r="U324" s="240"/>
      <c r="V324" s="240"/>
      <c r="W324" s="240"/>
      <c r="X324" s="240"/>
      <c r="Y324" s="240"/>
      <c r="Z324" s="240"/>
      <c r="AA324" s="240"/>
      <c r="AB324" s="240"/>
      <c r="AC324" s="240"/>
      <c r="AD324" s="240"/>
      <c r="AE324" s="240"/>
      <c r="AF324" s="240"/>
      <c r="AG324" s="240"/>
      <c r="AH324" s="240"/>
      <c r="AI324" s="240"/>
      <c r="AJ324" s="240"/>
      <c r="AK324" s="13"/>
      <c r="AL324" s="13"/>
      <c r="AM324" s="13"/>
      <c r="AN324" s="13"/>
      <c r="AO324" s="13"/>
      <c r="AP324" s="13"/>
      <c r="AQ324" s="13"/>
      <c r="AR324" s="13"/>
      <c r="AS324" s="13"/>
      <c r="AT324" s="13"/>
      <c r="AU324" s="13"/>
      <c r="AV324" s="13"/>
      <c r="AW324" s="13"/>
      <c r="AX324" s="14"/>
      <c r="AY324" s="14"/>
      <c r="AZ324" s="14"/>
      <c r="BA324" s="14"/>
      <c r="BB324" s="14"/>
      <c r="BC324" s="14"/>
      <c r="BD324" s="14"/>
      <c r="BE324" s="14"/>
      <c r="BF324" s="14"/>
      <c r="BG324" s="14"/>
      <c r="BH324" s="14"/>
      <c r="BI324" s="14"/>
      <c r="BJ324" s="14"/>
    </row>
    <row r="325" spans="1:65" s="1" customFormat="1" ht="12.75">
      <c r="A325" s="91" t="s">
        <v>4</v>
      </c>
      <c r="B325" s="360" t="str">
        <f>Vertaling!B339</f>
      </c>
      <c r="C325" s="263" t="str">
        <f>Vertaling!$B$147</f>
      </c>
      <c r="D325" s="279">
        <f>IF(DATA!$B$140="",0,DATA!$B$140)</f>
      </c>
      <c r="E325" s="263" t="str">
        <f>Vertaling!$B$147</f>
      </c>
      <c r="F325" s="279">
        <f>IF(DATA!$B$182="",0,DATA!$B$182)</f>
      </c>
      <c r="G325" s="360"/>
      <c r="H325" s="246"/>
      <c r="I325" s="246"/>
      <c r="J325" s="246"/>
      <c r="K325" s="246"/>
      <c r="L325" s="246"/>
      <c r="M325" s="246"/>
      <c r="N325" s="246"/>
      <c r="O325" s="246"/>
      <c r="P325" s="246"/>
      <c r="Q325" s="246"/>
      <c r="R325" s="246"/>
      <c r="S325" s="246"/>
      <c r="T325" s="246"/>
      <c r="U325" s="246"/>
      <c r="V325" s="246"/>
      <c r="W325" s="246"/>
      <c r="X325" s="246"/>
      <c r="Y325" s="246"/>
      <c r="Z325" s="246"/>
      <c r="AA325" s="246"/>
      <c r="AB325" s="246"/>
      <c r="AC325" s="246"/>
      <c r="AD325" s="246"/>
      <c r="AE325" s="246"/>
      <c r="AF325" s="246"/>
      <c r="AG325" s="246"/>
      <c r="AH325" s="246"/>
      <c r="AI325" s="246"/>
      <c r="AJ325" s="246"/>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360"/>
      <c r="BL325" s="360"/>
      <c r="BM325" s="360"/>
    </row>
    <row r="326" spans="1:65" customFormat="1" ht="7.5" customHeight="1">
      <c r="A326" s="236"/>
      <c r="B326" s="360"/>
      <c r="C326" s="263"/>
      <c r="D326" s="235"/>
      <c r="E326" s="263"/>
      <c r="F326" s="235"/>
      <c r="G326" s="237"/>
      <c r="H326" s="240"/>
      <c r="I326" s="240"/>
      <c r="J326" s="240"/>
      <c r="K326" s="240"/>
      <c r="L326" s="240"/>
      <c r="M326" s="240"/>
      <c r="N326" s="240"/>
      <c r="O326" s="240"/>
      <c r="P326" s="240"/>
      <c r="Q326" s="240"/>
      <c r="R326" s="240"/>
      <c r="S326" s="240"/>
      <c r="T326" s="240"/>
      <c r="U326" s="240"/>
      <c r="V326" s="240"/>
      <c r="W326" s="240"/>
      <c r="X326" s="240"/>
      <c r="Y326" s="240"/>
      <c r="Z326" s="240"/>
      <c r="AA326" s="240"/>
      <c r="AB326" s="240"/>
      <c r="AC326" s="240"/>
      <c r="AD326" s="240"/>
      <c r="AE326" s="240"/>
      <c r="AF326" s="240"/>
      <c r="AG326" s="240"/>
      <c r="AH326" s="240"/>
      <c r="AI326" s="240"/>
      <c r="AJ326" s="240"/>
      <c r="AK326" s="13"/>
      <c r="AL326" s="13"/>
      <c r="AM326" s="13"/>
      <c r="AN326" s="13"/>
      <c r="AO326" s="13"/>
      <c r="AP326" s="13"/>
      <c r="AQ326" s="13"/>
      <c r="AR326" s="13"/>
      <c r="AS326" s="13"/>
      <c r="AT326" s="13"/>
      <c r="AU326" s="13"/>
      <c r="AV326" s="13"/>
      <c r="AW326" s="13"/>
      <c r="AX326" s="14"/>
      <c r="AY326" s="14"/>
      <c r="AZ326" s="14"/>
      <c r="BA326" s="14"/>
      <c r="BB326" s="14"/>
      <c r="BC326" s="14"/>
      <c r="BD326" s="14"/>
      <c r="BE326" s="14"/>
      <c r="BF326" s="14"/>
      <c r="BG326" s="14"/>
      <c r="BH326" s="14"/>
      <c r="BI326" s="14"/>
      <c r="BJ326" s="14"/>
    </row>
    <row r="327" spans="1:65" s="1" customFormat="1" ht="12.75">
      <c r="A327" s="91" t="s">
        <v>4</v>
      </c>
      <c r="B327" s="360" t="str">
        <f>Vertaling!B340</f>
      </c>
      <c r="C327" s="263" t="str">
        <f>Vertaling!$B$147</f>
      </c>
      <c r="D327" s="279">
        <f>IF(DATA!$B$141="",0,DATA!$B$141)</f>
      </c>
      <c r="E327" s="263" t="str">
        <f>Vertaling!$B$147</f>
      </c>
      <c r="F327" s="279">
        <f>IF(DATA!$B$183="",0,DATA!$B$183)</f>
      </c>
      <c r="G327" s="360"/>
      <c r="H327" s="246"/>
      <c r="I327" s="246"/>
      <c r="J327" s="246"/>
      <c r="K327" s="246"/>
      <c r="L327" s="246"/>
      <c r="M327" s="246"/>
      <c r="N327" s="246"/>
      <c r="O327" s="246"/>
      <c r="P327" s="246"/>
      <c r="Q327" s="246"/>
      <c r="R327" s="246"/>
      <c r="S327" s="246"/>
      <c r="T327" s="246"/>
      <c r="U327" s="246"/>
      <c r="V327" s="246"/>
      <c r="W327" s="246"/>
      <c r="X327" s="246"/>
      <c r="Y327" s="246"/>
      <c r="Z327" s="246"/>
      <c r="AA327" s="246"/>
      <c r="AB327" s="246"/>
      <c r="AC327" s="246"/>
      <c r="AD327" s="246"/>
      <c r="AE327" s="246"/>
      <c r="AF327" s="246"/>
      <c r="AG327" s="246"/>
      <c r="AH327" s="246"/>
      <c r="AI327" s="246"/>
      <c r="AJ327" s="246"/>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c r="BK327" s="360"/>
      <c r="BL327" s="360"/>
      <c r="BM327" s="360"/>
    </row>
    <row r="328" spans="1:65" customFormat="1" ht="12.75">
      <c r="A328" s="70"/>
      <c r="B328" s="360"/>
      <c r="C328" s="271"/>
      <c r="D328" s="1"/>
      <c r="E328" s="265"/>
      <c r="F328" s="243"/>
      <c r="G328" s="1"/>
      <c r="H328" s="240"/>
      <c r="I328" s="240"/>
      <c r="J328" s="240"/>
      <c r="K328" s="240"/>
      <c r="L328" s="240"/>
      <c r="M328" s="240"/>
      <c r="N328" s="240"/>
      <c r="O328" s="240"/>
      <c r="P328" s="240"/>
      <c r="Q328" s="240"/>
      <c r="R328" s="240"/>
      <c r="S328" s="240"/>
      <c r="T328" s="240"/>
      <c r="U328" s="240"/>
      <c r="V328" s="240"/>
      <c r="W328" s="240"/>
      <c r="X328" s="240"/>
      <c r="Y328" s="240"/>
      <c r="Z328" s="240"/>
      <c r="AA328" s="240"/>
      <c r="AB328" s="240"/>
      <c r="AC328" s="240"/>
      <c r="AD328" s="240"/>
      <c r="AE328" s="240"/>
      <c r="AF328" s="240"/>
      <c r="AG328" s="240"/>
      <c r="AH328" s="240"/>
      <c r="AI328" s="240"/>
      <c r="AJ328" s="240"/>
      <c r="AK328" s="13"/>
      <c r="AL328" s="13"/>
      <c r="AM328" s="13"/>
      <c r="AN328" s="13"/>
      <c r="AO328" s="13"/>
      <c r="AP328" s="13"/>
      <c r="AQ328" s="13"/>
      <c r="AR328" s="13"/>
      <c r="AS328" s="13"/>
      <c r="AT328" s="13"/>
      <c r="AU328" s="13"/>
      <c r="AV328" s="13"/>
      <c r="AW328" s="13"/>
      <c r="AX328" s="14"/>
      <c r="AY328" s="14"/>
      <c r="AZ328" s="14"/>
      <c r="BA328" s="14"/>
      <c r="BB328" s="14"/>
      <c r="BC328" s="14"/>
      <c r="BD328" s="14"/>
      <c r="BE328" s="14"/>
      <c r="BF328" s="14"/>
      <c r="BG328" s="14"/>
      <c r="BH328" s="14"/>
      <c r="BI328" s="14"/>
      <c r="BJ328" s="14"/>
    </row>
    <row r="329" spans="1:65" customFormat="1" ht="12.75" hidden="1">
      <c r="A329" s="70"/>
      <c r="B329" s="257" t="s">
        <v>23</v>
      </c>
      <c r="C329" s="276" t="str">
        <f>Vertaling!$B$245</f>
      </c>
      <c r="D329" s="1"/>
      <c r="E329" s="268"/>
      <c r="F329" s="239"/>
      <c r="G329" s="255"/>
      <c r="H329" s="240"/>
      <c r="I329" s="240"/>
      <c r="J329" s="240"/>
      <c r="K329" s="240"/>
      <c r="L329" s="240"/>
      <c r="M329" s="240"/>
      <c r="N329" s="240"/>
      <c r="O329" s="240"/>
      <c r="P329" s="240"/>
      <c r="Q329" s="240"/>
      <c r="R329" s="240"/>
      <c r="S329" s="240"/>
      <c r="T329" s="240"/>
      <c r="U329" s="240"/>
      <c r="V329" s="240"/>
      <c r="W329" s="240"/>
      <c r="X329" s="240"/>
      <c r="Y329" s="240"/>
      <c r="Z329" s="240"/>
      <c r="AA329" s="240"/>
      <c r="AB329" s="240"/>
      <c r="AC329" s="240"/>
      <c r="AD329" s="240"/>
      <c r="AE329" s="240"/>
      <c r="AF329" s="240"/>
      <c r="AG329" s="240"/>
      <c r="AH329" s="240"/>
      <c r="AI329" s="240"/>
      <c r="AJ329" s="240"/>
      <c r="AK329" s="13"/>
      <c r="AL329" s="13"/>
      <c r="AM329" s="13"/>
      <c r="AN329" s="13"/>
      <c r="AO329" s="13"/>
      <c r="AP329" s="13"/>
      <c r="AQ329" s="13"/>
      <c r="AR329" s="13"/>
      <c r="AS329" s="13"/>
      <c r="AT329" s="13"/>
      <c r="AU329" s="13"/>
      <c r="AV329" s="13"/>
      <c r="AW329" s="13"/>
      <c r="AX329" s="14"/>
      <c r="AY329" s="14"/>
      <c r="AZ329" s="14"/>
      <c r="BA329" s="14"/>
      <c r="BB329" s="14"/>
      <c r="BC329" s="14"/>
      <c r="BD329" s="14"/>
      <c r="BE329" s="14"/>
      <c r="BF329" s="14"/>
      <c r="BG329" s="14"/>
      <c r="BH329" s="14"/>
      <c r="BI329" s="14"/>
      <c r="BJ329" s="14"/>
    </row>
    <row r="330" spans="1:65" customFormat="1" ht="12.75" hidden="1">
      <c r="A330" s="91" t="str">
        <f>CONCATENATE(LEFT(A256,2)+1,".")</f>
      </c>
      <c r="B330" s="258" t="str">
        <f>Vertaling!B136</f>
      </c>
      <c r="C330" s="265"/>
      <c r="D330" s="239" t="str">
        <f>D17</f>
      </c>
      <c r="E330" s="265"/>
      <c r="F330" s="239" t="str">
        <f>F17</f>
      </c>
      <c r="G330" s="1"/>
      <c r="H330" s="240"/>
      <c r="I330" s="240"/>
      <c r="J330" s="240"/>
      <c r="K330" s="240"/>
      <c r="L330" s="240"/>
      <c r="M330" s="240"/>
      <c r="N330" s="240"/>
      <c r="O330" s="240"/>
      <c r="P330" s="240"/>
      <c r="Q330" s="240"/>
      <c r="R330" s="240"/>
      <c r="S330" s="240"/>
      <c r="T330" s="240"/>
      <c r="U330" s="240"/>
      <c r="V330" s="240"/>
      <c r="W330" s="240"/>
      <c r="X330" s="240"/>
      <c r="Y330" s="240"/>
      <c r="Z330" s="240"/>
      <c r="AA330" s="240"/>
      <c r="AB330" s="240"/>
      <c r="AC330" s="240"/>
      <c r="AD330" s="240"/>
      <c r="AE330" s="240"/>
      <c r="AF330" s="240"/>
      <c r="AG330" s="240"/>
      <c r="AH330" s="240"/>
      <c r="AI330" s="240"/>
      <c r="AJ330" s="240"/>
      <c r="AK330" s="13"/>
      <c r="AL330" s="13"/>
      <c r="AM330" s="13"/>
      <c r="AN330" s="13"/>
      <c r="AO330" s="13"/>
      <c r="AP330" s="13"/>
      <c r="AQ330" s="13"/>
      <c r="AR330" s="13"/>
      <c r="AS330" s="13"/>
      <c r="AT330" s="13"/>
      <c r="AU330" s="13"/>
      <c r="AV330" s="13"/>
      <c r="AW330" s="13"/>
      <c r="AX330" s="14"/>
      <c r="AY330" s="14"/>
      <c r="AZ330" s="14"/>
      <c r="BA330" s="14"/>
      <c r="BB330" s="14"/>
      <c r="BC330" s="14"/>
      <c r="BD330" s="14"/>
      <c r="BE330" s="14"/>
      <c r="BF330" s="14"/>
      <c r="BG330" s="14"/>
      <c r="BH330" s="14"/>
      <c r="BI330" s="14"/>
      <c r="BJ330" s="14"/>
    </row>
    <row r="331" spans="1:65" s="1" customFormat="1" ht="12.75" hidden="1">
      <c r="A331" s="70"/>
      <c r="B331" s="353" t="str">
        <f>Vertaling!B137</f>
      </c>
      <c r="C331" s="263" t="str">
        <f>Vertaling!$B$145</f>
      </c>
      <c r="D331" s="192"/>
      <c r="E331" s="263" t="str">
        <f>Vertaling!$B$145</f>
      </c>
      <c r="F331" s="192"/>
      <c r="G331" s="244"/>
      <c r="H331" s="246"/>
      <c r="I331" s="246"/>
      <c r="J331" s="246"/>
      <c r="K331" s="246"/>
      <c r="L331" s="246"/>
      <c r="M331" s="246"/>
      <c r="N331" s="246"/>
      <c r="O331" s="246"/>
      <c r="P331" s="246"/>
      <c r="Q331" s="246"/>
      <c r="R331" s="246"/>
      <c r="S331" s="246"/>
      <c r="T331" s="246"/>
      <c r="U331" s="246"/>
      <c r="V331" s="246"/>
      <c r="W331" s="246"/>
      <c r="X331" s="246"/>
      <c r="Y331" s="246"/>
      <c r="Z331" s="246"/>
      <c r="AA331" s="246"/>
      <c r="AB331" s="246"/>
      <c r="AC331" s="246"/>
      <c r="AD331" s="246"/>
      <c r="AE331" s="246"/>
      <c r="AF331" s="246"/>
      <c r="AG331" s="246"/>
      <c r="AH331" s="246"/>
      <c r="AI331" s="246"/>
      <c r="AJ331" s="246"/>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c r="BK331" s="353"/>
      <c r="BL331" s="353"/>
      <c r="BM331" s="353"/>
    </row>
    <row r="332" spans="1:65" customFormat="1" ht="7.5" hidden="1" customHeight="1">
      <c r="A332" s="236"/>
      <c r="B332" s="353"/>
      <c r="C332" s="263"/>
      <c r="D332" s="247"/>
      <c r="E332" s="263"/>
      <c r="F332" s="247"/>
      <c r="G332" s="237"/>
      <c r="H332" s="240"/>
      <c r="I332" s="240"/>
      <c r="J332" s="240"/>
      <c r="K332" s="240"/>
      <c r="L332" s="240"/>
      <c r="M332" s="240"/>
      <c r="N332" s="240"/>
      <c r="O332" s="240"/>
      <c r="P332" s="240"/>
      <c r="Q332" s="240"/>
      <c r="R332" s="240"/>
      <c r="S332" s="240"/>
      <c r="T332" s="240"/>
      <c r="U332" s="240"/>
      <c r="V332" s="240"/>
      <c r="W332" s="240"/>
      <c r="X332" s="240"/>
      <c r="Y332" s="240"/>
      <c r="Z332" s="240"/>
      <c r="AA332" s="240"/>
      <c r="AB332" s="240"/>
      <c r="AC332" s="240"/>
      <c r="AD332" s="240"/>
      <c r="AE332" s="240"/>
      <c r="AF332" s="240"/>
      <c r="AG332" s="240"/>
      <c r="AH332" s="240"/>
      <c r="AI332" s="240"/>
      <c r="AJ332" s="240"/>
      <c r="AK332" s="13"/>
      <c r="AL332" s="13"/>
      <c r="AM332" s="13"/>
      <c r="AN332" s="13"/>
      <c r="AO332" s="13"/>
      <c r="AP332" s="13"/>
      <c r="AQ332" s="13"/>
      <c r="AR332" s="13"/>
      <c r="AS332" s="13"/>
      <c r="AT332" s="13"/>
      <c r="AU332" s="13"/>
      <c r="AV332" s="13"/>
      <c r="AW332" s="13"/>
      <c r="AX332" s="14"/>
      <c r="AY332" s="14"/>
      <c r="AZ332" s="14"/>
      <c r="BA332" s="14"/>
      <c r="BB332" s="14"/>
      <c r="BC332" s="14"/>
      <c r="BD332" s="14"/>
      <c r="BE332" s="14"/>
      <c r="BF332" s="14"/>
      <c r="BG332" s="14"/>
      <c r="BH332" s="14"/>
      <c r="BI332" s="14"/>
      <c r="BJ332" s="14"/>
    </row>
    <row r="333" spans="1:65" s="1" customFormat="1" ht="12.75" hidden="1">
      <c r="A333" s="70"/>
      <c r="B333" s="353" t="str">
        <f>Vertaling!B138</f>
      </c>
      <c r="C333" s="263" t="str">
        <f>Vertaling!$B$145</f>
      </c>
      <c r="D333" s="192"/>
      <c r="E333" s="263" t="str">
        <f>Vertaling!$B$145</f>
      </c>
      <c r="F333" s="192"/>
      <c r="G333" s="244"/>
      <c r="H333" s="246"/>
      <c r="I333" s="246"/>
      <c r="J333" s="246"/>
      <c r="K333" s="246"/>
      <c r="L333" s="246"/>
      <c r="M333" s="246"/>
      <c r="N333" s="246"/>
      <c r="O333" s="246"/>
      <c r="P333" s="246"/>
      <c r="Q333" s="246"/>
      <c r="R333" s="246"/>
      <c r="S333" s="246"/>
      <c r="T333" s="246"/>
      <c r="U333" s="246"/>
      <c r="V333" s="246"/>
      <c r="W333" s="246"/>
      <c r="X333" s="246"/>
      <c r="Y333" s="246"/>
      <c r="Z333" s="246"/>
      <c r="AA333" s="246"/>
      <c r="AB333" s="246"/>
      <c r="AC333" s="246"/>
      <c r="AD333" s="246"/>
      <c r="AE333" s="246"/>
      <c r="AF333" s="246"/>
      <c r="AG333" s="246"/>
      <c r="AH333" s="246"/>
      <c r="AI333" s="246"/>
      <c r="AJ333" s="246"/>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c r="BK333" s="353"/>
      <c r="BL333" s="353"/>
      <c r="BM333" s="353"/>
    </row>
    <row r="334" spans="1:65" customFormat="1" ht="7.5" hidden="1" customHeight="1">
      <c r="A334" s="236"/>
      <c r="B334" s="353"/>
      <c r="C334" s="263"/>
      <c r="D334" s="247"/>
      <c r="E334" s="263"/>
      <c r="F334" s="247"/>
      <c r="G334" s="237"/>
      <c r="H334" s="240"/>
      <c r="I334" s="240"/>
      <c r="J334" s="240"/>
      <c r="K334" s="240"/>
      <c r="L334" s="240"/>
      <c r="M334" s="240"/>
      <c r="N334" s="240"/>
      <c r="O334" s="240"/>
      <c r="P334" s="240"/>
      <c r="Q334" s="240"/>
      <c r="R334" s="240"/>
      <c r="S334" s="240"/>
      <c r="T334" s="240"/>
      <c r="U334" s="240"/>
      <c r="V334" s="240"/>
      <c r="W334" s="240"/>
      <c r="X334" s="240"/>
      <c r="Y334" s="240"/>
      <c r="Z334" s="240"/>
      <c r="AA334" s="240"/>
      <c r="AB334" s="240"/>
      <c r="AC334" s="240"/>
      <c r="AD334" s="240"/>
      <c r="AE334" s="240"/>
      <c r="AF334" s="240"/>
      <c r="AG334" s="240"/>
      <c r="AH334" s="240"/>
      <c r="AI334" s="240"/>
      <c r="AJ334" s="240"/>
      <c r="AK334" s="13"/>
      <c r="AL334" s="13"/>
      <c r="AM334" s="13"/>
      <c r="AN334" s="13"/>
      <c r="AO334" s="13"/>
      <c r="AP334" s="13"/>
      <c r="AQ334" s="13"/>
      <c r="AR334" s="13"/>
      <c r="AS334" s="13"/>
      <c r="AT334" s="13"/>
      <c r="AU334" s="13"/>
      <c r="AV334" s="13"/>
      <c r="AW334" s="13"/>
      <c r="AX334" s="14"/>
      <c r="AY334" s="14"/>
      <c r="AZ334" s="14"/>
      <c r="BA334" s="14"/>
      <c r="BB334" s="14"/>
      <c r="BC334" s="14"/>
      <c r="BD334" s="14"/>
      <c r="BE334" s="14"/>
      <c r="BF334" s="14"/>
      <c r="BG334" s="14"/>
      <c r="BH334" s="14"/>
      <c r="BI334" s="14"/>
      <c r="BJ334" s="14"/>
    </row>
    <row r="335" spans="1:65" s="1" customFormat="1" ht="12.75" hidden="1">
      <c r="A335" s="70"/>
      <c r="B335" s="353" t="str">
        <f>Vertaling!B139</f>
      </c>
      <c r="C335" s="263" t="str">
        <f>Vertaling!$B$145</f>
      </c>
      <c r="D335" s="192"/>
      <c r="E335" s="263" t="str">
        <f>Vertaling!$B$145</f>
      </c>
      <c r="F335" s="192"/>
      <c r="G335" s="244"/>
      <c r="H335" s="246"/>
      <c r="I335" s="246"/>
      <c r="J335" s="246"/>
      <c r="K335" s="246"/>
      <c r="L335" s="246"/>
      <c r="M335" s="246"/>
      <c r="N335" s="246"/>
      <c r="O335" s="246"/>
      <c r="P335" s="246"/>
      <c r="Q335" s="246"/>
      <c r="R335" s="246"/>
      <c r="S335" s="246"/>
      <c r="T335" s="246"/>
      <c r="U335" s="246"/>
      <c r="V335" s="246"/>
      <c r="W335" s="246"/>
      <c r="X335" s="246"/>
      <c r="Y335" s="246"/>
      <c r="Z335" s="246"/>
      <c r="AA335" s="246"/>
      <c r="AB335" s="246"/>
      <c r="AC335" s="246"/>
      <c r="AD335" s="246"/>
      <c r="AE335" s="246"/>
      <c r="AF335" s="246"/>
      <c r="AG335" s="246"/>
      <c r="AH335" s="246"/>
      <c r="AI335" s="246"/>
      <c r="AJ335" s="246"/>
      <c r="AK335" s="15"/>
      <c r="AL335" s="15"/>
      <c r="AM335" s="15"/>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c r="BK335" s="353"/>
      <c r="BL335" s="353"/>
      <c r="BM335" s="353"/>
    </row>
    <row r="336" spans="1:65" customFormat="1" ht="7.5" hidden="1" customHeight="1">
      <c r="A336" s="236"/>
      <c r="B336" s="353"/>
      <c r="C336" s="263"/>
      <c r="D336" s="247"/>
      <c r="E336" s="263"/>
      <c r="F336" s="247"/>
      <c r="G336" s="237"/>
      <c r="H336" s="240"/>
      <c r="I336" s="240"/>
      <c r="J336" s="240"/>
      <c r="K336" s="240"/>
      <c r="L336" s="240"/>
      <c r="M336" s="240"/>
      <c r="N336" s="240"/>
      <c r="O336" s="240"/>
      <c r="P336" s="240"/>
      <c r="Q336" s="240"/>
      <c r="R336" s="240"/>
      <c r="S336" s="240"/>
      <c r="T336" s="240"/>
      <c r="U336" s="240"/>
      <c r="V336" s="240"/>
      <c r="W336" s="240"/>
      <c r="X336" s="240"/>
      <c r="Y336" s="240"/>
      <c r="Z336" s="240"/>
      <c r="AA336" s="240"/>
      <c r="AB336" s="240"/>
      <c r="AC336" s="240"/>
      <c r="AD336" s="240"/>
      <c r="AE336" s="240"/>
      <c r="AF336" s="240"/>
      <c r="AG336" s="240"/>
      <c r="AH336" s="240"/>
      <c r="AI336" s="240"/>
      <c r="AJ336" s="240"/>
      <c r="AK336" s="13"/>
      <c r="AL336" s="13"/>
      <c r="AM336" s="13"/>
      <c r="AN336" s="13"/>
      <c r="AO336" s="13"/>
      <c r="AP336" s="13"/>
      <c r="AQ336" s="13"/>
      <c r="AR336" s="13"/>
      <c r="AS336" s="13"/>
      <c r="AT336" s="13"/>
      <c r="AU336" s="13"/>
      <c r="AV336" s="13"/>
      <c r="AW336" s="13"/>
      <c r="AX336" s="14"/>
      <c r="AY336" s="14"/>
      <c r="AZ336" s="14"/>
      <c r="BA336" s="14"/>
      <c r="BB336" s="14"/>
      <c r="BC336" s="14"/>
      <c r="BD336" s="14"/>
      <c r="BE336" s="14"/>
      <c r="BF336" s="14"/>
      <c r="BG336" s="14"/>
      <c r="BH336" s="14"/>
      <c r="BI336" s="14"/>
      <c r="BJ336" s="14"/>
    </row>
    <row r="337" spans="1:65" s="1" customFormat="1" ht="12.75" hidden="1">
      <c r="A337" s="70"/>
      <c r="B337" s="353" t="str">
        <f>Vertaling!B140</f>
      </c>
      <c r="C337" s="263" t="str">
        <f>Vertaling!$B$145</f>
      </c>
      <c r="D337" s="192"/>
      <c r="E337" s="263" t="str">
        <f>Vertaling!$B$145</f>
      </c>
      <c r="F337" s="192"/>
      <c r="G337" s="244"/>
      <c r="H337" s="246"/>
      <c r="I337" s="246"/>
      <c r="J337" s="246"/>
      <c r="K337" s="246"/>
      <c r="L337" s="246"/>
      <c r="M337" s="246"/>
      <c r="N337" s="246"/>
      <c r="O337" s="246"/>
      <c r="P337" s="246"/>
      <c r="Q337" s="246"/>
      <c r="R337" s="246"/>
      <c r="S337" s="246"/>
      <c r="T337" s="246"/>
      <c r="U337" s="246"/>
      <c r="V337" s="246"/>
      <c r="W337" s="246"/>
      <c r="X337" s="246"/>
      <c r="Y337" s="246"/>
      <c r="Z337" s="246"/>
      <c r="AA337" s="246"/>
      <c r="AB337" s="246"/>
      <c r="AC337" s="246"/>
      <c r="AD337" s="246"/>
      <c r="AE337" s="246"/>
      <c r="AF337" s="246"/>
      <c r="AG337" s="246"/>
      <c r="AH337" s="246"/>
      <c r="AI337" s="246"/>
      <c r="AJ337" s="246"/>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c r="BK337" s="353"/>
      <c r="BL337" s="353"/>
      <c r="BM337" s="353"/>
    </row>
    <row r="338" spans="1:65" customFormat="1" ht="7.5" hidden="1" customHeight="1">
      <c r="A338" s="236"/>
      <c r="B338" s="353"/>
      <c r="C338" s="263"/>
      <c r="D338" s="247"/>
      <c r="E338" s="263"/>
      <c r="F338" s="247"/>
      <c r="G338" s="237"/>
      <c r="H338" s="240"/>
      <c r="I338" s="240"/>
      <c r="J338" s="240"/>
      <c r="K338" s="240"/>
      <c r="L338" s="240"/>
      <c r="M338" s="240"/>
      <c r="N338" s="240"/>
      <c r="O338" s="240"/>
      <c r="P338" s="240"/>
      <c r="Q338" s="240"/>
      <c r="R338" s="240"/>
      <c r="S338" s="240"/>
      <c r="T338" s="240"/>
      <c r="U338" s="240"/>
      <c r="V338" s="240"/>
      <c r="W338" s="240"/>
      <c r="X338" s="240"/>
      <c r="Y338" s="240"/>
      <c r="Z338" s="240"/>
      <c r="AA338" s="240"/>
      <c r="AB338" s="240"/>
      <c r="AC338" s="240"/>
      <c r="AD338" s="240"/>
      <c r="AE338" s="240"/>
      <c r="AF338" s="240"/>
      <c r="AG338" s="240"/>
      <c r="AH338" s="240"/>
      <c r="AI338" s="240"/>
      <c r="AJ338" s="240"/>
      <c r="AK338" s="13"/>
      <c r="AL338" s="13"/>
      <c r="AM338" s="13"/>
      <c r="AN338" s="13"/>
      <c r="AO338" s="13"/>
      <c r="AP338" s="13"/>
      <c r="AQ338" s="13"/>
      <c r="AR338" s="13"/>
      <c r="AS338" s="13"/>
      <c r="AT338" s="13"/>
      <c r="AU338" s="13"/>
      <c r="AV338" s="13"/>
      <c r="AW338" s="13"/>
      <c r="AX338" s="14"/>
      <c r="AY338" s="14"/>
      <c r="AZ338" s="14"/>
      <c r="BA338" s="14"/>
      <c r="BB338" s="14"/>
      <c r="BC338" s="14"/>
      <c r="BD338" s="14"/>
      <c r="BE338" s="14"/>
      <c r="BF338" s="14"/>
      <c r="BG338" s="14"/>
      <c r="BH338" s="14"/>
      <c r="BI338" s="14"/>
      <c r="BJ338" s="14"/>
    </row>
    <row r="339" spans="1:65" s="1" customFormat="1" ht="12.75" hidden="1">
      <c r="A339" s="70"/>
      <c r="B339" s="353" t="str">
        <f>Vertaling!B141</f>
      </c>
      <c r="C339" s="263" t="str">
        <f>Vertaling!$B$145</f>
      </c>
      <c r="D339" s="192"/>
      <c r="E339" s="263" t="str">
        <f>Vertaling!$B$145</f>
      </c>
      <c r="F339" s="192"/>
      <c r="G339" s="244"/>
      <c r="H339" s="246"/>
      <c r="I339" s="246"/>
      <c r="J339" s="246"/>
      <c r="K339" s="246"/>
      <c r="L339" s="246"/>
      <c r="M339" s="246"/>
      <c r="N339" s="246"/>
      <c r="O339" s="246"/>
      <c r="P339" s="246"/>
      <c r="Q339" s="246"/>
      <c r="R339" s="246"/>
      <c r="S339" s="246"/>
      <c r="T339" s="246"/>
      <c r="U339" s="246"/>
      <c r="V339" s="246"/>
      <c r="W339" s="246"/>
      <c r="X339" s="246"/>
      <c r="Y339" s="246"/>
      <c r="Z339" s="246"/>
      <c r="AA339" s="246"/>
      <c r="AB339" s="246"/>
      <c r="AC339" s="246"/>
      <c r="AD339" s="246"/>
      <c r="AE339" s="246"/>
      <c r="AF339" s="246"/>
      <c r="AG339" s="246"/>
      <c r="AH339" s="246"/>
      <c r="AI339" s="246"/>
      <c r="AJ339" s="246"/>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c r="BK339" s="353"/>
      <c r="BL339" s="353"/>
      <c r="BM339" s="353"/>
    </row>
    <row r="340" spans="1:65" s="1" customFormat="1" ht="7.5" hidden="1" customHeight="1">
      <c r="A340" s="70"/>
      <c r="B340" s="353"/>
      <c r="C340" s="265"/>
      <c r="D340" s="353"/>
      <c r="E340" s="265"/>
      <c r="F340" s="353"/>
      <c r="G340" s="353"/>
      <c r="H340" s="246"/>
      <c r="I340" s="246"/>
      <c r="J340" s="246"/>
      <c r="K340" s="246"/>
      <c r="L340" s="246"/>
      <c r="M340" s="246"/>
      <c r="N340" s="246"/>
      <c r="O340" s="246"/>
      <c r="P340" s="246"/>
      <c r="Q340" s="246"/>
      <c r="R340" s="246"/>
      <c r="S340" s="246"/>
      <c r="T340" s="246"/>
      <c r="U340" s="246"/>
      <c r="V340" s="246"/>
      <c r="W340" s="246"/>
      <c r="X340" s="246"/>
      <c r="Y340" s="246"/>
      <c r="Z340" s="246"/>
      <c r="AA340" s="246"/>
      <c r="AB340" s="246"/>
      <c r="AC340" s="246"/>
      <c r="AD340" s="246"/>
      <c r="AE340" s="246"/>
      <c r="AF340" s="246"/>
      <c r="AG340" s="246"/>
      <c r="AH340" s="246"/>
      <c r="AI340" s="246"/>
      <c r="AJ340" s="246"/>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c r="BK340" s="353"/>
      <c r="BL340" s="353"/>
      <c r="BM340" s="353"/>
    </row>
    <row r="341" spans="1:65" customFormat="1" ht="12.75" hidden="1">
      <c r="A341" s="70"/>
      <c r="B341" s="353" t="str">
        <f>Vertaling!B142</f>
      </c>
      <c r="C341" s="263" t="str">
        <f>Vertaling!$B$145</f>
      </c>
      <c r="D341" s="192"/>
      <c r="E341" s="263" t="str">
        <f>Vertaling!$B$145</f>
      </c>
      <c r="F341" s="192"/>
      <c r="G341" s="244"/>
      <c r="H341" s="240"/>
      <c r="I341" s="240"/>
      <c r="J341" s="240"/>
      <c r="K341" s="240"/>
      <c r="L341" s="240"/>
      <c r="M341" s="240"/>
      <c r="N341" s="240"/>
      <c r="O341" s="240"/>
      <c r="P341" s="240"/>
      <c r="Q341" s="240"/>
      <c r="R341" s="240"/>
      <c r="S341" s="240"/>
      <c r="T341" s="240"/>
      <c r="U341" s="240"/>
      <c r="V341" s="240"/>
      <c r="W341" s="240"/>
      <c r="X341" s="240"/>
      <c r="Y341" s="240"/>
      <c r="Z341" s="240"/>
      <c r="AA341" s="240"/>
      <c r="AB341" s="240"/>
      <c r="AC341" s="240"/>
      <c r="AD341" s="240"/>
      <c r="AE341" s="240"/>
      <c r="AF341" s="240"/>
      <c r="AG341" s="240"/>
      <c r="AH341" s="240"/>
      <c r="AI341" s="240"/>
      <c r="AJ341" s="240"/>
      <c r="AK341" s="13"/>
      <c r="AL341" s="13"/>
      <c r="AM341" s="13"/>
      <c r="AN341" s="13"/>
      <c r="AO341" s="13"/>
      <c r="AP341" s="13"/>
      <c r="AQ341" s="13"/>
      <c r="AR341" s="13"/>
      <c r="AS341" s="13"/>
      <c r="AT341" s="13"/>
      <c r="AU341" s="13"/>
      <c r="AV341" s="13"/>
      <c r="AW341" s="13"/>
      <c r="AX341" s="14"/>
      <c r="AY341" s="14"/>
      <c r="AZ341" s="14"/>
      <c r="BA341" s="14"/>
      <c r="BB341" s="14"/>
      <c r="BC341" s="14"/>
      <c r="BD341" s="14"/>
      <c r="BE341" s="14"/>
      <c r="BF341" s="14"/>
      <c r="BG341" s="14"/>
      <c r="BH341" s="14"/>
      <c r="BI341" s="14"/>
      <c r="BJ341" s="14"/>
    </row>
    <row r="342" spans="1:65" s="1" customFormat="1" ht="7.5" hidden="1" customHeight="1">
      <c r="A342" s="70"/>
      <c r="B342" s="353"/>
      <c r="C342" s="265"/>
      <c r="D342" s="353"/>
      <c r="E342" s="265"/>
      <c r="F342" s="353"/>
      <c r="G342" s="353"/>
      <c r="H342" s="246"/>
      <c r="I342" s="246"/>
      <c r="J342" s="246"/>
      <c r="K342" s="246"/>
      <c r="L342" s="246"/>
      <c r="M342" s="246"/>
      <c r="N342" s="246"/>
      <c r="O342" s="246"/>
      <c r="P342" s="246"/>
      <c r="Q342" s="246"/>
      <c r="R342" s="246"/>
      <c r="S342" s="246"/>
      <c r="T342" s="246"/>
      <c r="U342" s="246"/>
      <c r="V342" s="246"/>
      <c r="W342" s="246"/>
      <c r="X342" s="246"/>
      <c r="Y342" s="246"/>
      <c r="Z342" s="246"/>
      <c r="AA342" s="246"/>
      <c r="AB342" s="246"/>
      <c r="AC342" s="246"/>
      <c r="AD342" s="246"/>
      <c r="AE342" s="246"/>
      <c r="AF342" s="246"/>
      <c r="AG342" s="246"/>
      <c r="AH342" s="246"/>
      <c r="AI342" s="246"/>
      <c r="AJ342" s="246"/>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c r="BK342" s="353"/>
      <c r="BL342" s="353"/>
      <c r="BM342" s="353"/>
    </row>
    <row r="343" spans="1:65" customFormat="1" ht="12.75" hidden="1">
      <c r="A343" s="70"/>
      <c r="B343" s="353" t="str">
        <f>Vertaling!B143</f>
      </c>
      <c r="C343" s="263" t="str">
        <f>Vertaling!$B$145</f>
      </c>
      <c r="D343" s="192" t="s">
        <v>24</v>
      </c>
      <c r="E343" s="263" t="str">
        <f>Vertaling!$B$145</f>
      </c>
      <c r="F343" s="192"/>
      <c r="G343" s="244"/>
      <c r="H343" s="240"/>
      <c r="I343" s="240"/>
      <c r="J343" s="240"/>
      <c r="K343" s="240"/>
      <c r="L343" s="240"/>
      <c r="M343" s="240"/>
      <c r="N343" s="240"/>
      <c r="O343" s="240"/>
      <c r="P343" s="240"/>
      <c r="Q343" s="240"/>
      <c r="R343" s="240"/>
      <c r="S343" s="240"/>
      <c r="T343" s="240"/>
      <c r="U343" s="240"/>
      <c r="V343" s="240"/>
      <c r="W343" s="240"/>
      <c r="X343" s="240"/>
      <c r="Y343" s="240"/>
      <c r="Z343" s="240"/>
      <c r="AA343" s="240"/>
      <c r="AB343" s="240"/>
      <c r="AC343" s="240"/>
      <c r="AD343" s="240"/>
      <c r="AE343" s="240"/>
      <c r="AF343" s="240"/>
      <c r="AG343" s="240"/>
      <c r="AH343" s="240"/>
      <c r="AI343" s="240"/>
      <c r="AJ343" s="240"/>
      <c r="AK343" s="13"/>
      <c r="AL343" s="13"/>
      <c r="AM343" s="13"/>
      <c r="AN343" s="13"/>
      <c r="AO343" s="13"/>
      <c r="AP343" s="13"/>
      <c r="AQ343" s="13"/>
      <c r="AR343" s="13"/>
      <c r="AS343" s="13"/>
      <c r="AT343" s="13"/>
      <c r="AU343" s="13"/>
      <c r="AV343" s="13"/>
      <c r="AW343" s="13"/>
      <c r="AX343" s="14"/>
      <c r="AY343" s="14"/>
      <c r="AZ343" s="14"/>
      <c r="BA343" s="14"/>
      <c r="BB343" s="14"/>
      <c r="BC343" s="14"/>
      <c r="BD343" s="14"/>
      <c r="BE343" s="14"/>
      <c r="BF343" s="14"/>
      <c r="BG343" s="14"/>
      <c r="BH343" s="14"/>
      <c r="BI343" s="14"/>
      <c r="BJ343" s="14"/>
    </row>
    <row r="344" spans="1:65" s="1" customFormat="1" ht="7.5" hidden="1" customHeight="1">
      <c r="A344" s="70"/>
      <c r="B344" s="353"/>
      <c r="C344" s="265"/>
      <c r="D344" s="353"/>
      <c r="E344" s="265"/>
      <c r="F344" s="353"/>
      <c r="G344" s="353"/>
      <c r="H344" s="246"/>
      <c r="I344" s="246"/>
      <c r="J344" s="246"/>
      <c r="K344" s="246"/>
      <c r="L344" s="246"/>
      <c r="M344" s="246"/>
      <c r="N344" s="246"/>
      <c r="O344" s="246"/>
      <c r="P344" s="246"/>
      <c r="Q344" s="246"/>
      <c r="R344" s="246"/>
      <c r="S344" s="246"/>
      <c r="T344" s="246"/>
      <c r="U344" s="246"/>
      <c r="V344" s="246"/>
      <c r="W344" s="246"/>
      <c r="X344" s="246"/>
      <c r="Y344" s="246"/>
      <c r="Z344" s="246"/>
      <c r="AA344" s="246"/>
      <c r="AB344" s="246"/>
      <c r="AC344" s="246"/>
      <c r="AD344" s="246"/>
      <c r="AE344" s="246"/>
      <c r="AF344" s="246"/>
      <c r="AG344" s="246"/>
      <c r="AH344" s="246"/>
      <c r="AI344" s="246"/>
      <c r="AJ344" s="246"/>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353"/>
      <c r="BL344" s="353"/>
      <c r="BM344" s="353"/>
    </row>
    <row r="345" spans="1:65" customFormat="1" ht="12.75" hidden="1">
      <c r="A345" s="70"/>
      <c r="B345" s="353" t="str">
        <f>Vertaling!B144</f>
      </c>
      <c r="C345" s="263" t="str">
        <f>Vertaling!$B$145</f>
      </c>
      <c r="D345" s="192" t="s">
        <v>24</v>
      </c>
      <c r="E345" s="263" t="str">
        <f>Vertaling!$B$145</f>
      </c>
      <c r="F345" s="192"/>
      <c r="G345" s="244"/>
      <c r="H345" s="240"/>
      <c r="I345" s="240"/>
      <c r="J345" s="240"/>
      <c r="K345" s="240"/>
      <c r="L345" s="240"/>
      <c r="M345" s="240"/>
      <c r="N345" s="240"/>
      <c r="O345" s="240"/>
      <c r="P345" s="240"/>
      <c r="Q345" s="240"/>
      <c r="R345" s="240"/>
      <c r="S345" s="240"/>
      <c r="T345" s="240"/>
      <c r="U345" s="240"/>
      <c r="V345" s="240"/>
      <c r="W345" s="240"/>
      <c r="X345" s="240"/>
      <c r="Y345" s="240"/>
      <c r="Z345" s="240"/>
      <c r="AA345" s="240"/>
      <c r="AB345" s="240"/>
      <c r="AC345" s="240"/>
      <c r="AD345" s="240"/>
      <c r="AE345" s="240"/>
      <c r="AF345" s="240"/>
      <c r="AG345" s="240"/>
      <c r="AH345" s="240"/>
      <c r="AI345" s="240"/>
      <c r="AJ345" s="240"/>
      <c r="AK345" s="13"/>
      <c r="AL345" s="13"/>
      <c r="AM345" s="13"/>
      <c r="AN345" s="13"/>
      <c r="AO345" s="13"/>
      <c r="AP345" s="13"/>
      <c r="AQ345" s="13"/>
      <c r="AR345" s="13"/>
      <c r="AS345" s="13"/>
      <c r="AT345" s="13"/>
      <c r="AU345" s="13"/>
      <c r="AV345" s="13"/>
      <c r="AW345" s="13"/>
      <c r="AX345" s="14"/>
      <c r="AY345" s="14"/>
      <c r="AZ345" s="14"/>
      <c r="BA345" s="14"/>
      <c r="BB345" s="14"/>
      <c r="BC345" s="14"/>
      <c r="BD345" s="14"/>
      <c r="BE345" s="14"/>
      <c r="BF345" s="14"/>
      <c r="BG345" s="14"/>
      <c r="BH345" s="14"/>
      <c r="BI345" s="14"/>
      <c r="BJ345" s="14"/>
    </row>
    <row r="346" spans="1:65" customFormat="1" ht="12.75" hidden="1">
      <c r="A346" s="70"/>
      <c r="B346" s="353"/>
      <c r="C346" s="265"/>
      <c r="D346" s="353"/>
      <c r="E346" s="265"/>
      <c r="F346" s="353"/>
      <c r="G346" s="353"/>
      <c r="H346" s="240"/>
      <c r="I346" s="240"/>
      <c r="J346" s="240"/>
      <c r="K346" s="240"/>
      <c r="L346" s="240"/>
      <c r="M346" s="240"/>
      <c r="N346" s="240"/>
      <c r="O346" s="240"/>
      <c r="P346" s="240"/>
      <c r="Q346" s="240"/>
      <c r="R346" s="240"/>
      <c r="S346" s="240"/>
      <c r="T346" s="240"/>
      <c r="U346" s="240"/>
      <c r="V346" s="240"/>
      <c r="W346" s="240"/>
      <c r="X346" s="240"/>
      <c r="Y346" s="240"/>
      <c r="Z346" s="240"/>
      <c r="AA346" s="240"/>
      <c r="AB346" s="240"/>
      <c r="AC346" s="240"/>
      <c r="AD346" s="240"/>
      <c r="AE346" s="240"/>
      <c r="AF346" s="240"/>
      <c r="AG346" s="240"/>
      <c r="AH346" s="240"/>
      <c r="AI346" s="240"/>
      <c r="AJ346" s="240"/>
      <c r="AK346" s="13"/>
      <c r="AL346" s="13"/>
      <c r="AM346" s="13"/>
      <c r="AN346" s="13"/>
      <c r="AO346" s="13"/>
      <c r="AP346" s="13"/>
      <c r="AQ346" s="13"/>
      <c r="AR346" s="13"/>
      <c r="AS346" s="13"/>
      <c r="AT346" s="13"/>
      <c r="AU346" s="13"/>
      <c r="AV346" s="13"/>
      <c r="AW346" s="13"/>
      <c r="AX346" s="14"/>
      <c r="AY346" s="14"/>
      <c r="AZ346" s="14"/>
      <c r="BA346" s="14"/>
      <c r="BB346" s="14"/>
      <c r="BC346" s="14"/>
      <c r="BD346" s="14"/>
      <c r="BE346" s="14"/>
      <c r="BF346" s="14"/>
      <c r="BG346" s="14"/>
      <c r="BH346" s="14"/>
      <c r="BI346" s="14"/>
      <c r="BJ346" s="14"/>
    </row>
    <row r="347" spans="1:65" customFormat="1" ht="12.75">
      <c r="A347" s="92"/>
      <c r="B347" s="15"/>
      <c r="C347" s="277"/>
      <c r="D347" s="13"/>
      <c r="E347" s="270"/>
      <c r="F347" s="13"/>
      <c r="G347" s="13"/>
      <c r="H347" s="240"/>
      <c r="I347" s="240"/>
      <c r="J347" s="240"/>
      <c r="K347" s="240"/>
      <c r="L347" s="240"/>
      <c r="M347" s="240"/>
      <c r="N347" s="240"/>
      <c r="O347" s="240"/>
      <c r="P347" s="240"/>
      <c r="Q347" s="240"/>
      <c r="R347" s="240"/>
      <c r="S347" s="240"/>
      <c r="T347" s="240"/>
      <c r="U347" s="240"/>
      <c r="V347" s="240"/>
      <c r="W347" s="240"/>
      <c r="X347" s="240"/>
      <c r="Y347" s="240"/>
      <c r="Z347" s="240"/>
      <c r="AA347" s="240"/>
      <c r="AB347" s="240"/>
      <c r="AC347" s="240"/>
      <c r="AD347" s="240"/>
      <c r="AE347" s="240"/>
      <c r="AF347" s="240"/>
      <c r="AG347" s="240"/>
      <c r="AH347" s="240"/>
      <c r="AI347" s="240"/>
      <c r="AJ347" s="240"/>
      <c r="AK347" s="13"/>
      <c r="AL347" s="13"/>
      <c r="AM347" s="13"/>
      <c r="AN347" s="13"/>
      <c r="AO347" s="13"/>
      <c r="AP347" s="13"/>
      <c r="AQ347" s="13"/>
      <c r="AR347" s="13"/>
      <c r="AS347" s="13"/>
      <c r="AT347" s="13"/>
      <c r="AU347" s="13"/>
      <c r="AV347" s="13"/>
      <c r="AW347" s="13"/>
      <c r="AX347" s="14"/>
      <c r="AY347" s="14"/>
      <c r="AZ347" s="14"/>
      <c r="BA347" s="14"/>
      <c r="BB347" s="14"/>
      <c r="BC347" s="14"/>
      <c r="BD347" s="14"/>
      <c r="BE347" s="14"/>
      <c r="BF347" s="14"/>
      <c r="BG347" s="14"/>
      <c r="BH347" s="14"/>
      <c r="BI347" s="14"/>
      <c r="BJ347" s="14"/>
    </row>
    <row r="348" spans="1:65" customFormat="1" ht="12.75">
      <c r="A348" s="92"/>
      <c r="B348" s="15"/>
      <c r="C348" s="277"/>
      <c r="D348" s="13"/>
      <c r="E348" s="270"/>
      <c r="F348" s="13"/>
      <c r="G348" s="13"/>
      <c r="H348" s="240"/>
      <c r="I348" s="240"/>
      <c r="J348" s="240"/>
      <c r="K348" s="240"/>
      <c r="L348" s="240"/>
      <c r="M348" s="240"/>
      <c r="N348" s="240"/>
      <c r="O348" s="240"/>
      <c r="P348" s="240"/>
      <c r="Q348" s="240"/>
      <c r="R348" s="240"/>
      <c r="S348" s="240"/>
      <c r="T348" s="240"/>
      <c r="U348" s="240"/>
      <c r="V348" s="240"/>
      <c r="W348" s="240"/>
      <c r="X348" s="240"/>
      <c r="Y348" s="240"/>
      <c r="Z348" s="240"/>
      <c r="AA348" s="240"/>
      <c r="AB348" s="240"/>
      <c r="AC348" s="240"/>
      <c r="AD348" s="240"/>
      <c r="AE348" s="240"/>
      <c r="AF348" s="240"/>
      <c r="AG348" s="240"/>
      <c r="AH348" s="240"/>
      <c r="AI348" s="240"/>
      <c r="AJ348" s="240"/>
      <c r="AK348" s="13"/>
      <c r="AL348" s="13"/>
      <c r="AM348" s="13"/>
      <c r="AN348" s="13"/>
      <c r="AO348" s="13"/>
      <c r="AP348" s="13"/>
      <c r="AQ348" s="13"/>
      <c r="AR348" s="13"/>
      <c r="AS348" s="13"/>
      <c r="AT348" s="13"/>
      <c r="AU348" s="13"/>
      <c r="AV348" s="13"/>
      <c r="AW348" s="13"/>
      <c r="AX348" s="14"/>
      <c r="AY348" s="14"/>
      <c r="AZ348" s="14"/>
      <c r="BA348" s="14"/>
      <c r="BB348" s="14"/>
      <c r="BC348" s="14"/>
      <c r="BD348" s="14"/>
      <c r="BE348" s="14"/>
      <c r="BF348" s="14"/>
      <c r="BG348" s="14"/>
      <c r="BH348" s="14"/>
      <c r="BI348" s="14"/>
      <c r="BJ348" s="14"/>
    </row>
    <row r="349" spans="1:65" customFormat="1" ht="12.75">
      <c r="A349" s="92"/>
      <c r="B349" s="15"/>
      <c r="C349" s="277"/>
      <c r="D349" s="13"/>
      <c r="E349" s="270"/>
      <c r="F349" s="13"/>
      <c r="G349" s="13"/>
      <c r="H349" s="240"/>
      <c r="I349" s="240"/>
      <c r="J349" s="240"/>
      <c r="K349" s="240"/>
      <c r="L349" s="240"/>
      <c r="M349" s="240"/>
      <c r="N349" s="240"/>
      <c r="O349" s="240"/>
      <c r="P349" s="240"/>
      <c r="Q349" s="240"/>
      <c r="R349" s="240"/>
      <c r="S349" s="240"/>
      <c r="T349" s="240"/>
      <c r="U349" s="240"/>
      <c r="V349" s="240"/>
      <c r="W349" s="240"/>
      <c r="X349" s="240"/>
      <c r="Y349" s="240"/>
      <c r="Z349" s="240"/>
      <c r="AA349" s="240"/>
      <c r="AB349" s="240"/>
      <c r="AC349" s="240"/>
      <c r="AD349" s="240"/>
      <c r="AE349" s="240"/>
      <c r="AF349" s="240"/>
      <c r="AG349" s="240"/>
      <c r="AH349" s="240"/>
      <c r="AI349" s="240"/>
      <c r="AJ349" s="240"/>
      <c r="AK349" s="13"/>
      <c r="AL349" s="13"/>
      <c r="AM349" s="13"/>
      <c r="AN349" s="13"/>
      <c r="AO349" s="13"/>
      <c r="AP349" s="13"/>
      <c r="AQ349" s="13"/>
      <c r="AR349" s="13"/>
      <c r="AS349" s="13"/>
      <c r="AT349" s="13"/>
      <c r="AU349" s="13"/>
      <c r="AV349" s="13"/>
      <c r="AW349" s="13"/>
      <c r="AX349" s="14"/>
      <c r="AY349" s="14"/>
      <c r="AZ349" s="14"/>
      <c r="BA349" s="14"/>
      <c r="BB349" s="14"/>
      <c r="BC349" s="14"/>
      <c r="BD349" s="14"/>
      <c r="BE349" s="14"/>
      <c r="BF349" s="14"/>
      <c r="BG349" s="14"/>
      <c r="BH349" s="14"/>
      <c r="BI349" s="14"/>
      <c r="BJ349" s="14"/>
    </row>
    <row r="350" spans="1:65" customFormat="1" ht="12.75">
      <c r="A350" s="92"/>
      <c r="B350" s="15"/>
      <c r="C350" s="277"/>
      <c r="D350" s="13"/>
      <c r="E350" s="270"/>
      <c r="F350" s="13"/>
      <c r="G350" s="13"/>
      <c r="H350" s="240"/>
      <c r="I350" s="240"/>
      <c r="J350" s="240"/>
      <c r="K350" s="240"/>
      <c r="L350" s="240"/>
      <c r="M350" s="240"/>
      <c r="N350" s="240"/>
      <c r="O350" s="240"/>
      <c r="P350" s="240"/>
      <c r="Q350" s="240"/>
      <c r="R350" s="240"/>
      <c r="S350" s="240"/>
      <c r="T350" s="240"/>
      <c r="U350" s="240"/>
      <c r="V350" s="240"/>
      <c r="W350" s="240"/>
      <c r="X350" s="240"/>
      <c r="Y350" s="240"/>
      <c r="Z350" s="240"/>
      <c r="AA350" s="240"/>
      <c r="AB350" s="240"/>
      <c r="AC350" s="240"/>
      <c r="AD350" s="240"/>
      <c r="AE350" s="240"/>
      <c r="AF350" s="240"/>
      <c r="AG350" s="240"/>
      <c r="AH350" s="240"/>
      <c r="AI350" s="240"/>
      <c r="AJ350" s="240"/>
      <c r="AK350" s="13"/>
      <c r="AL350" s="13"/>
      <c r="AM350" s="13"/>
      <c r="AN350" s="13"/>
      <c r="AO350" s="13"/>
      <c r="AP350" s="13"/>
      <c r="AQ350" s="13"/>
      <c r="AR350" s="13"/>
      <c r="AS350" s="13"/>
      <c r="AT350" s="13"/>
      <c r="AU350" s="13"/>
      <c r="AV350" s="13"/>
      <c r="AW350" s="13"/>
      <c r="AX350" s="14"/>
      <c r="AY350" s="14"/>
      <c r="AZ350" s="14"/>
      <c r="BA350" s="14"/>
      <c r="BB350" s="14"/>
      <c r="BC350" s="14"/>
      <c r="BD350" s="14"/>
      <c r="BE350" s="14"/>
      <c r="BF350" s="14"/>
      <c r="BG350" s="14"/>
      <c r="BH350" s="14"/>
      <c r="BI350" s="14"/>
      <c r="BJ350" s="14"/>
    </row>
    <row r="351" spans="1:65" customFormat="1" ht="12.75">
      <c r="A351" s="92"/>
      <c r="B351" s="15"/>
      <c r="C351" s="277"/>
      <c r="D351" s="13"/>
      <c r="E351" s="270"/>
      <c r="F351" s="13"/>
      <c r="G351" s="13"/>
      <c r="H351" s="240"/>
      <c r="I351" s="240"/>
      <c r="J351" s="240"/>
      <c r="K351" s="240"/>
      <c r="L351" s="240"/>
      <c r="M351" s="240"/>
      <c r="N351" s="240"/>
      <c r="O351" s="240"/>
      <c r="P351" s="240"/>
      <c r="Q351" s="240"/>
      <c r="R351" s="240"/>
      <c r="S351" s="240"/>
      <c r="T351" s="240"/>
      <c r="U351" s="240"/>
      <c r="V351" s="240"/>
      <c r="W351" s="240"/>
      <c r="X351" s="240"/>
      <c r="Y351" s="240"/>
      <c r="Z351" s="240"/>
      <c r="AA351" s="240"/>
      <c r="AB351" s="240"/>
      <c r="AC351" s="240"/>
      <c r="AD351" s="240"/>
      <c r="AE351" s="240"/>
      <c r="AF351" s="240"/>
      <c r="AG351" s="240"/>
      <c r="AH351" s="240"/>
      <c r="AI351" s="240"/>
      <c r="AJ351" s="240"/>
      <c r="AK351" s="13"/>
      <c r="AL351" s="13"/>
      <c r="AM351" s="13"/>
      <c r="AN351" s="13"/>
      <c r="AO351" s="13"/>
      <c r="AP351" s="13"/>
      <c r="AQ351" s="13"/>
      <c r="AR351" s="13"/>
      <c r="AS351" s="13"/>
      <c r="AT351" s="13"/>
      <c r="AU351" s="13"/>
      <c r="AV351" s="13"/>
      <c r="AW351" s="13"/>
      <c r="AX351" s="14"/>
      <c r="AY351" s="14"/>
      <c r="AZ351" s="14"/>
      <c r="BA351" s="14"/>
      <c r="BB351" s="14"/>
      <c r="BC351" s="14"/>
      <c r="BD351" s="14"/>
      <c r="BE351" s="14"/>
      <c r="BF351" s="14"/>
      <c r="BG351" s="14"/>
      <c r="BH351" s="14"/>
      <c r="BI351" s="14"/>
      <c r="BJ351" s="14"/>
    </row>
    <row r="352" spans="1:65" customFormat="1" ht="12.75">
      <c r="A352" s="92"/>
      <c r="B352" s="15"/>
      <c r="C352" s="277"/>
      <c r="D352" s="13"/>
      <c r="E352" s="270"/>
      <c r="F352" s="13"/>
      <c r="G352" s="13"/>
      <c r="H352" s="240"/>
      <c r="I352" s="240"/>
      <c r="J352" s="240"/>
      <c r="K352" s="240"/>
      <c r="L352" s="240"/>
      <c r="M352" s="240"/>
      <c r="N352" s="240"/>
      <c r="O352" s="240"/>
      <c r="P352" s="240"/>
      <c r="Q352" s="240"/>
      <c r="R352" s="240"/>
      <c r="S352" s="240"/>
      <c r="T352" s="240"/>
      <c r="U352" s="240"/>
      <c r="V352" s="240"/>
      <c r="W352" s="240"/>
      <c r="X352" s="240"/>
      <c r="Y352" s="240"/>
      <c r="Z352" s="240"/>
      <c r="AA352" s="240"/>
      <c r="AB352" s="240"/>
      <c r="AC352" s="240"/>
      <c r="AD352" s="240"/>
      <c r="AE352" s="240"/>
      <c r="AF352" s="240"/>
      <c r="AG352" s="240"/>
      <c r="AH352" s="240"/>
      <c r="AI352" s="240"/>
      <c r="AJ352" s="240"/>
      <c r="AK352" s="13"/>
      <c r="AL352" s="13"/>
      <c r="AM352" s="13"/>
      <c r="AN352" s="13"/>
      <c r="AO352" s="13"/>
      <c r="AP352" s="13"/>
      <c r="AQ352" s="13"/>
      <c r="AR352" s="13"/>
      <c r="AS352" s="13"/>
      <c r="AT352" s="13"/>
      <c r="AU352" s="13"/>
      <c r="AV352" s="13"/>
      <c r="AW352" s="13"/>
      <c r="AX352" s="14"/>
      <c r="AY352" s="14"/>
      <c r="AZ352" s="14"/>
      <c r="BA352" s="14"/>
      <c r="BB352" s="14"/>
      <c r="BC352" s="14"/>
      <c r="BD352" s="14"/>
      <c r="BE352" s="14"/>
      <c r="BF352" s="14"/>
      <c r="BG352" s="14"/>
      <c r="BH352" s="14"/>
      <c r="BI352" s="14"/>
      <c r="BJ352" s="14"/>
    </row>
    <row r="353" spans="1:62" customFormat="1" ht="12.75">
      <c r="A353" s="92"/>
      <c r="B353" s="15"/>
      <c r="C353" s="277"/>
      <c r="D353" s="13"/>
      <c r="E353" s="270"/>
      <c r="F353" s="13"/>
      <c r="G353" s="13"/>
      <c r="H353" s="240"/>
      <c r="I353" s="240"/>
      <c r="J353" s="240"/>
      <c r="K353" s="240"/>
      <c r="L353" s="240"/>
      <c r="M353" s="240"/>
      <c r="N353" s="240"/>
      <c r="O353" s="240"/>
      <c r="P353" s="240"/>
      <c r="Q353" s="240"/>
      <c r="R353" s="240"/>
      <c r="S353" s="240"/>
      <c r="T353" s="240"/>
      <c r="U353" s="240"/>
      <c r="V353" s="240"/>
      <c r="W353" s="240"/>
      <c r="X353" s="240"/>
      <c r="Y353" s="240"/>
      <c r="Z353" s="240"/>
      <c r="AA353" s="240"/>
      <c r="AB353" s="240"/>
      <c r="AC353" s="240"/>
      <c r="AD353" s="240"/>
      <c r="AE353" s="240"/>
      <c r="AF353" s="240"/>
      <c r="AG353" s="240"/>
      <c r="AH353" s="240"/>
      <c r="AI353" s="240"/>
      <c r="AJ353" s="240"/>
      <c r="AK353" s="13"/>
      <c r="AL353" s="13"/>
      <c r="AM353" s="13"/>
      <c r="AN353" s="13"/>
      <c r="AO353" s="13"/>
      <c r="AP353" s="13"/>
      <c r="AQ353" s="13"/>
      <c r="AR353" s="13"/>
      <c r="AS353" s="13"/>
      <c r="AT353" s="13"/>
      <c r="AU353" s="13"/>
      <c r="AV353" s="13"/>
      <c r="AW353" s="13"/>
      <c r="AX353" s="14"/>
      <c r="AY353" s="14"/>
      <c r="AZ353" s="14"/>
      <c r="BA353" s="14"/>
      <c r="BB353" s="14"/>
      <c r="BC353" s="14"/>
      <c r="BD353" s="14"/>
      <c r="BE353" s="14"/>
      <c r="BF353" s="14"/>
      <c r="BG353" s="14"/>
      <c r="BH353" s="14"/>
      <c r="BI353" s="14"/>
      <c r="BJ353" s="14"/>
    </row>
    <row r="354" spans="1:62" customFormat="1">
      <c r="A354" s="92"/>
      <c r="B354" s="15"/>
      <c r="C354" s="277"/>
      <c r="D354" s="13"/>
      <c r="E354" s="270"/>
      <c r="F354" s="259"/>
      <c r="G354" s="13"/>
      <c r="H354" s="260"/>
      <c r="I354" s="240"/>
      <c r="J354" s="240"/>
      <c r="K354" s="240"/>
      <c r="L354" s="240"/>
      <c r="M354" s="240"/>
      <c r="N354" s="240"/>
      <c r="O354" s="240"/>
      <c r="P354" s="240"/>
      <c r="Q354" s="240"/>
      <c r="R354" s="240"/>
      <c r="S354" s="240"/>
      <c r="T354" s="240"/>
      <c r="U354" s="240"/>
      <c r="V354" s="240"/>
      <c r="W354" s="240"/>
      <c r="X354" s="240"/>
      <c r="Y354" s="240"/>
      <c r="Z354" s="240"/>
      <c r="AA354" s="240"/>
      <c r="AB354" s="240"/>
      <c r="AC354" s="240"/>
      <c r="AD354" s="240"/>
      <c r="AE354" s="240"/>
      <c r="AF354" s="240"/>
      <c r="AG354" s="240"/>
      <c r="AH354" s="240"/>
      <c r="AI354" s="240"/>
      <c r="AJ354" s="240"/>
      <c r="AK354" s="13"/>
      <c r="AL354" s="13"/>
      <c r="AM354" s="13"/>
      <c r="AN354" s="13"/>
      <c r="AO354" s="13"/>
      <c r="AP354" s="13"/>
      <c r="AQ354" s="13"/>
      <c r="AR354" s="13"/>
      <c r="AS354" s="13"/>
      <c r="AT354" s="13"/>
      <c r="AU354" s="13"/>
      <c r="AV354" s="13"/>
      <c r="AW354" s="13"/>
      <c r="AX354" s="14"/>
      <c r="AY354" s="14"/>
      <c r="AZ354" s="14"/>
      <c r="BA354" s="14"/>
      <c r="BB354" s="14"/>
      <c r="BC354" s="14"/>
      <c r="BD354" s="14"/>
      <c r="BE354" s="14"/>
      <c r="BF354" s="14"/>
      <c r="BG354" s="14"/>
      <c r="BH354" s="14"/>
      <c r="BI354" s="14"/>
      <c r="BJ354" s="14"/>
    </row>
    <row r="355" spans="1:62" customFormat="1">
      <c r="A355" s="92"/>
      <c r="B355" s="15"/>
      <c r="C355" s="277"/>
      <c r="D355" s="13"/>
      <c r="E355" s="270"/>
      <c r="F355" s="259"/>
      <c r="G355" s="13"/>
      <c r="H355" s="260"/>
      <c r="I355" s="240"/>
      <c r="J355" s="240"/>
      <c r="K355" s="240"/>
      <c r="L355" s="240"/>
      <c r="M355" s="240"/>
      <c r="N355" s="240"/>
      <c r="O355" s="240"/>
      <c r="P355" s="240"/>
      <c r="Q355" s="240"/>
      <c r="R355" s="240"/>
      <c r="S355" s="240"/>
      <c r="T355" s="240"/>
      <c r="U355" s="240"/>
      <c r="V355" s="240"/>
      <c r="W355" s="240"/>
      <c r="X355" s="240"/>
      <c r="Y355" s="240"/>
      <c r="Z355" s="240"/>
      <c r="AA355" s="240"/>
      <c r="AB355" s="240"/>
      <c r="AC355" s="240"/>
      <c r="AD355" s="240"/>
      <c r="AE355" s="240"/>
      <c r="AF355" s="240"/>
      <c r="AG355" s="240"/>
      <c r="AH355" s="240"/>
      <c r="AI355" s="240"/>
      <c r="AJ355" s="240"/>
      <c r="AK355" s="13"/>
      <c r="AL355" s="13"/>
      <c r="AM355" s="13"/>
      <c r="AN355" s="13"/>
      <c r="AO355" s="13"/>
      <c r="AP355" s="13"/>
      <c r="AQ355" s="13"/>
      <c r="AR355" s="13"/>
      <c r="AS355" s="13"/>
      <c r="AT355" s="13"/>
      <c r="AU355" s="13"/>
      <c r="AV355" s="13"/>
      <c r="AW355" s="13"/>
      <c r="AX355" s="14"/>
      <c r="AY355" s="14"/>
      <c r="AZ355" s="14"/>
      <c r="BA355" s="14"/>
      <c r="BB355" s="14"/>
      <c r="BC355" s="14"/>
      <c r="BD355" s="14"/>
      <c r="BE355" s="14"/>
      <c r="BF355" s="14"/>
      <c r="BG355" s="14"/>
      <c r="BH355" s="14"/>
      <c r="BI355" s="14"/>
      <c r="BJ355" s="14"/>
    </row>
    <row r="356" spans="1:62" customFormat="1">
      <c r="A356" s="92"/>
      <c r="B356" s="15"/>
      <c r="C356" s="277"/>
      <c r="D356" s="13"/>
      <c r="E356" s="270"/>
      <c r="F356" s="259"/>
      <c r="G356" s="13"/>
      <c r="H356" s="260"/>
      <c r="I356" s="240"/>
      <c r="J356" s="240"/>
      <c r="K356" s="240"/>
      <c r="L356" s="240"/>
      <c r="M356" s="240"/>
      <c r="N356" s="240"/>
      <c r="O356" s="240"/>
      <c r="P356" s="240"/>
      <c r="Q356" s="240"/>
      <c r="R356" s="240"/>
      <c r="S356" s="240"/>
      <c r="T356" s="240"/>
      <c r="U356" s="240"/>
      <c r="V356" s="240"/>
      <c r="W356" s="240"/>
      <c r="X356" s="240"/>
      <c r="Y356" s="240"/>
      <c r="Z356" s="240"/>
      <c r="AA356" s="240"/>
      <c r="AB356" s="240"/>
      <c r="AC356" s="240"/>
      <c r="AD356" s="240"/>
      <c r="AE356" s="240"/>
      <c r="AF356" s="240"/>
      <c r="AG356" s="240"/>
      <c r="AH356" s="240"/>
      <c r="AI356" s="240"/>
      <c r="AJ356" s="240"/>
      <c r="AK356" s="13"/>
      <c r="AL356" s="13"/>
      <c r="AM356" s="13"/>
      <c r="AN356" s="13"/>
      <c r="AO356" s="13"/>
      <c r="AP356" s="13"/>
      <c r="AQ356" s="13"/>
      <c r="AR356" s="13"/>
      <c r="AS356" s="13"/>
      <c r="AT356" s="13"/>
      <c r="AU356" s="13"/>
      <c r="AV356" s="13"/>
      <c r="AW356" s="13"/>
      <c r="AX356" s="14"/>
      <c r="AY356" s="14"/>
      <c r="AZ356" s="14"/>
      <c r="BA356" s="14"/>
      <c r="BB356" s="14"/>
      <c r="BC356" s="14"/>
      <c r="BD356" s="14"/>
      <c r="BE356" s="14"/>
      <c r="BF356" s="14"/>
      <c r="BG356" s="14"/>
      <c r="BH356" s="14"/>
      <c r="BI356" s="14"/>
      <c r="BJ356" s="14"/>
    </row>
    <row r="357" spans="1:62" customFormat="1">
      <c r="A357" s="92"/>
      <c r="B357" s="15"/>
      <c r="C357" s="277"/>
      <c r="D357" s="13"/>
      <c r="E357" s="270"/>
      <c r="F357" s="259"/>
      <c r="G357" s="13"/>
      <c r="H357" s="260"/>
      <c r="I357" s="240"/>
      <c r="J357" s="240"/>
      <c r="K357" s="240"/>
      <c r="L357" s="240"/>
      <c r="M357" s="240"/>
      <c r="N357" s="240"/>
      <c r="O357" s="240"/>
      <c r="P357" s="240"/>
      <c r="Q357" s="240"/>
      <c r="R357" s="240"/>
      <c r="S357" s="240"/>
      <c r="T357" s="240"/>
      <c r="U357" s="240"/>
      <c r="V357" s="240"/>
      <c r="W357" s="240"/>
      <c r="X357" s="240"/>
      <c r="Y357" s="240"/>
      <c r="Z357" s="240"/>
      <c r="AA357" s="240"/>
      <c r="AB357" s="240"/>
      <c r="AC357" s="240"/>
      <c r="AD357" s="240"/>
      <c r="AE357" s="240"/>
      <c r="AF357" s="240"/>
      <c r="AG357" s="240"/>
      <c r="AH357" s="240"/>
      <c r="AI357" s="240"/>
      <c r="AJ357" s="240"/>
      <c r="AK357" s="13"/>
      <c r="AL357" s="13"/>
      <c r="AM357" s="13"/>
      <c r="AN357" s="13"/>
      <c r="AO357" s="13"/>
      <c r="AP357" s="13"/>
      <c r="AQ357" s="13"/>
      <c r="AR357" s="13"/>
      <c r="AS357" s="13"/>
      <c r="AT357" s="13"/>
      <c r="AU357" s="13"/>
      <c r="AV357" s="13"/>
      <c r="AW357" s="13"/>
      <c r="AX357" s="14"/>
      <c r="AY357" s="14"/>
      <c r="AZ357" s="14"/>
      <c r="BA357" s="14"/>
      <c r="BB357" s="14"/>
      <c r="BC357" s="14"/>
      <c r="BD357" s="14"/>
      <c r="BE357" s="14"/>
      <c r="BF357" s="14"/>
      <c r="BG357" s="14"/>
      <c r="BH357" s="14"/>
      <c r="BI357" s="14"/>
      <c r="BJ357" s="14"/>
    </row>
    <row r="358" spans="1:62" customFormat="1">
      <c r="A358" s="92"/>
      <c r="B358" s="15"/>
      <c r="C358" s="277"/>
      <c r="D358" s="13"/>
      <c r="E358" s="270"/>
      <c r="F358" s="259"/>
      <c r="G358" s="13"/>
      <c r="H358" s="260"/>
      <c r="I358" s="240"/>
      <c r="J358" s="240"/>
      <c r="K358" s="240"/>
      <c r="L358" s="240"/>
      <c r="M358" s="240"/>
      <c r="N358" s="240"/>
      <c r="O358" s="240"/>
      <c r="P358" s="240"/>
      <c r="Q358" s="240"/>
      <c r="R358" s="240"/>
      <c r="S358" s="240"/>
      <c r="T358" s="240"/>
      <c r="U358" s="240"/>
      <c r="V358" s="240"/>
      <c r="W358" s="240"/>
      <c r="X358" s="240"/>
      <c r="Y358" s="240"/>
      <c r="Z358" s="240"/>
      <c r="AA358" s="240"/>
      <c r="AB358" s="240"/>
      <c r="AC358" s="240"/>
      <c r="AD358" s="240"/>
      <c r="AE358" s="240"/>
      <c r="AF358" s="240"/>
      <c r="AG358" s="240"/>
      <c r="AH358" s="240"/>
      <c r="AI358" s="240"/>
      <c r="AJ358" s="240"/>
      <c r="AK358" s="13"/>
      <c r="AL358" s="13"/>
      <c r="AM358" s="13"/>
      <c r="AN358" s="13"/>
      <c r="AO358" s="13"/>
      <c r="AP358" s="13"/>
      <c r="AQ358" s="13"/>
      <c r="AR358" s="13"/>
      <c r="AS358" s="13"/>
      <c r="AT358" s="13"/>
      <c r="AU358" s="13"/>
      <c r="AV358" s="13"/>
      <c r="AW358" s="13"/>
      <c r="AX358" s="14"/>
      <c r="AY358" s="14"/>
      <c r="AZ358" s="14"/>
      <c r="BA358" s="14"/>
      <c r="BB358" s="14"/>
      <c r="BC358" s="14"/>
      <c r="BD358" s="14"/>
      <c r="BE358" s="14"/>
      <c r="BF358" s="14"/>
      <c r="BG358" s="14"/>
      <c r="BH358" s="14"/>
      <c r="BI358" s="14"/>
      <c r="BJ358" s="14"/>
    </row>
    <row r="359" spans="1:62" customFormat="1">
      <c r="A359" s="92"/>
      <c r="B359" s="15"/>
      <c r="C359" s="277"/>
      <c r="D359" s="13"/>
      <c r="E359" s="270"/>
      <c r="F359" s="259"/>
      <c r="G359" s="13"/>
      <c r="H359" s="260"/>
      <c r="I359" s="240"/>
      <c r="J359" s="240"/>
      <c r="K359" s="240"/>
      <c r="L359" s="240"/>
      <c r="M359" s="240"/>
      <c r="N359" s="240"/>
      <c r="O359" s="240"/>
      <c r="P359" s="240"/>
      <c r="Q359" s="240"/>
      <c r="R359" s="240"/>
      <c r="S359" s="240"/>
      <c r="T359" s="240"/>
      <c r="U359" s="240"/>
      <c r="V359" s="240"/>
      <c r="W359" s="240"/>
      <c r="X359" s="240"/>
      <c r="Y359" s="240"/>
      <c r="Z359" s="240"/>
      <c r="AA359" s="240"/>
      <c r="AB359" s="240"/>
      <c r="AC359" s="240"/>
      <c r="AD359" s="240"/>
      <c r="AE359" s="240"/>
      <c r="AF359" s="240"/>
      <c r="AG359" s="240"/>
      <c r="AH359" s="240"/>
      <c r="AI359" s="240"/>
      <c r="AJ359" s="240"/>
      <c r="AK359" s="13"/>
      <c r="AL359" s="13"/>
      <c r="AM359" s="13"/>
      <c r="AN359" s="13"/>
      <c r="AO359" s="13"/>
      <c r="AP359" s="13"/>
      <c r="AQ359" s="13"/>
      <c r="AR359" s="13"/>
      <c r="AS359" s="13"/>
      <c r="AT359" s="13"/>
      <c r="AU359" s="13"/>
      <c r="AV359" s="13"/>
      <c r="AW359" s="13"/>
      <c r="AX359" s="14"/>
      <c r="AY359" s="14"/>
      <c r="AZ359" s="14"/>
      <c r="BA359" s="14"/>
      <c r="BB359" s="14"/>
      <c r="BC359" s="14"/>
      <c r="BD359" s="14"/>
      <c r="BE359" s="14"/>
      <c r="BF359" s="14"/>
      <c r="BG359" s="14"/>
      <c r="BH359" s="14"/>
      <c r="BI359" s="14"/>
      <c r="BJ359" s="14"/>
    </row>
    <row r="360" spans="1:62" customFormat="1">
      <c r="A360" s="92"/>
      <c r="B360" s="15"/>
      <c r="C360" s="277"/>
      <c r="D360" s="13"/>
      <c r="E360" s="270"/>
      <c r="F360" s="259"/>
      <c r="G360" s="13"/>
      <c r="H360" s="260"/>
      <c r="I360" s="240"/>
      <c r="J360" s="240"/>
      <c r="K360" s="240"/>
      <c r="L360" s="240"/>
      <c r="M360" s="240"/>
      <c r="N360" s="240"/>
      <c r="O360" s="240"/>
      <c r="P360" s="240"/>
      <c r="Q360" s="240"/>
      <c r="R360" s="240"/>
      <c r="S360" s="240"/>
      <c r="T360" s="240"/>
      <c r="U360" s="240"/>
      <c r="V360" s="240"/>
      <c r="W360" s="240"/>
      <c r="X360" s="240"/>
      <c r="Y360" s="240"/>
      <c r="Z360" s="240"/>
      <c r="AA360" s="240"/>
      <c r="AB360" s="240"/>
      <c r="AC360" s="240"/>
      <c r="AD360" s="240"/>
      <c r="AE360" s="240"/>
      <c r="AF360" s="240"/>
      <c r="AG360" s="240"/>
      <c r="AH360" s="240"/>
      <c r="AI360" s="240"/>
      <c r="AJ360" s="240"/>
      <c r="AK360" s="13"/>
      <c r="AL360" s="13"/>
      <c r="AM360" s="13"/>
      <c r="AN360" s="13"/>
      <c r="AO360" s="13"/>
      <c r="AP360" s="13"/>
      <c r="AQ360" s="13"/>
      <c r="AR360" s="13"/>
      <c r="AS360" s="13"/>
      <c r="AT360" s="13"/>
      <c r="AU360" s="13"/>
      <c r="AV360" s="13"/>
      <c r="AW360" s="13"/>
      <c r="AX360" s="14"/>
      <c r="AY360" s="14"/>
      <c r="AZ360" s="14"/>
      <c r="BA360" s="14"/>
      <c r="BB360" s="14"/>
      <c r="BC360" s="14"/>
      <c r="BD360" s="14"/>
      <c r="BE360" s="14"/>
      <c r="BF360" s="14"/>
      <c r="BG360" s="14"/>
      <c r="BH360" s="14"/>
      <c r="BI360" s="14"/>
      <c r="BJ360" s="14"/>
    </row>
    <row r="361" spans="1:62" customFormat="1">
      <c r="A361" s="92"/>
      <c r="B361" s="15"/>
      <c r="C361" s="277"/>
      <c r="D361" s="13"/>
      <c r="E361" s="270"/>
      <c r="F361" s="259"/>
      <c r="G361" s="13"/>
      <c r="H361" s="260"/>
      <c r="I361" s="240"/>
      <c r="J361" s="240"/>
      <c r="K361" s="240"/>
      <c r="L361" s="240"/>
      <c r="M361" s="240"/>
      <c r="N361" s="240"/>
      <c r="O361" s="240"/>
      <c r="P361" s="240"/>
      <c r="Q361" s="240"/>
      <c r="R361" s="240"/>
      <c r="S361" s="240"/>
      <c r="T361" s="240"/>
      <c r="U361" s="240"/>
      <c r="V361" s="240"/>
      <c r="W361" s="240"/>
      <c r="X361" s="240"/>
      <c r="Y361" s="240"/>
      <c r="Z361" s="240"/>
      <c r="AA361" s="240"/>
      <c r="AB361" s="240"/>
      <c r="AC361" s="240"/>
      <c r="AD361" s="240"/>
      <c r="AE361" s="240"/>
      <c r="AF361" s="240"/>
      <c r="AG361" s="240"/>
      <c r="AH361" s="240"/>
      <c r="AI361" s="240"/>
      <c r="AJ361" s="240"/>
      <c r="AK361" s="13"/>
      <c r="AL361" s="13"/>
      <c r="AM361" s="13"/>
      <c r="AN361" s="13"/>
      <c r="AO361" s="13"/>
      <c r="AP361" s="13"/>
      <c r="AQ361" s="13"/>
      <c r="AR361" s="13"/>
      <c r="AS361" s="13"/>
      <c r="AT361" s="13"/>
      <c r="AU361" s="13"/>
      <c r="AV361" s="13"/>
      <c r="AW361" s="13"/>
      <c r="AX361" s="14"/>
      <c r="AY361" s="14"/>
      <c r="AZ361" s="14"/>
      <c r="BA361" s="14"/>
      <c r="BB361" s="14"/>
      <c r="BC361" s="14"/>
      <c r="BD361" s="14"/>
      <c r="BE361" s="14"/>
      <c r="BF361" s="14"/>
      <c r="BG361" s="14"/>
      <c r="BH361" s="14"/>
      <c r="BI361" s="14"/>
      <c r="BJ361" s="14"/>
    </row>
    <row r="362" spans="1:62" customFormat="1">
      <c r="A362" s="92"/>
      <c r="B362" s="15"/>
      <c r="C362" s="277"/>
      <c r="D362" s="13"/>
      <c r="E362" s="270"/>
      <c r="F362" s="259"/>
      <c r="G362" s="13"/>
      <c r="H362" s="260"/>
      <c r="I362" s="240"/>
      <c r="J362" s="240"/>
      <c r="K362" s="240"/>
      <c r="L362" s="240"/>
      <c r="M362" s="240"/>
      <c r="N362" s="240"/>
      <c r="O362" s="240"/>
      <c r="P362" s="240"/>
      <c r="Q362" s="240"/>
      <c r="R362" s="240"/>
      <c r="S362" s="240"/>
      <c r="T362" s="240"/>
      <c r="U362" s="240"/>
      <c r="V362" s="240"/>
      <c r="W362" s="240"/>
      <c r="X362" s="240"/>
      <c r="Y362" s="240"/>
      <c r="Z362" s="240"/>
      <c r="AA362" s="240"/>
      <c r="AB362" s="240"/>
      <c r="AC362" s="240"/>
      <c r="AD362" s="240"/>
      <c r="AE362" s="240"/>
      <c r="AF362" s="240"/>
      <c r="AG362" s="240"/>
      <c r="AH362" s="240"/>
      <c r="AI362" s="240"/>
      <c r="AJ362" s="240"/>
      <c r="AK362" s="13"/>
      <c r="AL362" s="13"/>
      <c r="AM362" s="13"/>
      <c r="AN362" s="13"/>
      <c r="AO362" s="13"/>
      <c r="AP362" s="13"/>
      <c r="AQ362" s="13"/>
      <c r="AR362" s="13"/>
      <c r="AS362" s="13"/>
      <c r="AT362" s="13"/>
      <c r="AU362" s="13"/>
      <c r="AV362" s="13"/>
      <c r="AW362" s="13"/>
      <c r="AX362" s="14"/>
      <c r="AY362" s="14"/>
      <c r="AZ362" s="14"/>
      <c r="BA362" s="14"/>
      <c r="BB362" s="14"/>
      <c r="BC362" s="14"/>
      <c r="BD362" s="14"/>
      <c r="BE362" s="14"/>
      <c r="BF362" s="14"/>
      <c r="BG362" s="14"/>
      <c r="BH362" s="14"/>
      <c r="BI362" s="14"/>
      <c r="BJ362" s="14"/>
    </row>
    <row r="363" spans="1:62" customFormat="1">
      <c r="A363" s="92"/>
      <c r="B363" s="15"/>
      <c r="C363" s="277"/>
      <c r="D363" s="13"/>
      <c r="E363" s="270"/>
      <c r="F363" s="259"/>
      <c r="G363" s="13"/>
      <c r="H363" s="260"/>
      <c r="I363" s="240"/>
      <c r="J363" s="240"/>
      <c r="K363" s="240"/>
      <c r="L363" s="240"/>
      <c r="M363" s="240"/>
      <c r="N363" s="240"/>
      <c r="O363" s="240"/>
      <c r="P363" s="240"/>
      <c r="Q363" s="240"/>
      <c r="R363" s="240"/>
      <c r="S363" s="240"/>
      <c r="T363" s="240"/>
      <c r="U363" s="240"/>
      <c r="V363" s="240"/>
      <c r="W363" s="240"/>
      <c r="X363" s="240"/>
      <c r="Y363" s="240"/>
      <c r="Z363" s="240"/>
      <c r="AA363" s="240"/>
      <c r="AB363" s="240"/>
      <c r="AC363" s="240"/>
      <c r="AD363" s="240"/>
      <c r="AE363" s="240"/>
      <c r="AF363" s="240"/>
      <c r="AG363" s="240"/>
      <c r="AH363" s="240"/>
      <c r="AI363" s="240"/>
      <c r="AJ363" s="240"/>
      <c r="AK363" s="13"/>
      <c r="AL363" s="13"/>
      <c r="AM363" s="13"/>
      <c r="AN363" s="13"/>
      <c r="AO363" s="13"/>
      <c r="AP363" s="13"/>
      <c r="AQ363" s="13"/>
      <c r="AR363" s="13"/>
      <c r="AS363" s="13"/>
      <c r="AT363" s="13"/>
      <c r="AU363" s="13"/>
      <c r="AV363" s="13"/>
      <c r="AW363" s="13"/>
      <c r="AX363" s="14"/>
      <c r="AY363" s="14"/>
      <c r="AZ363" s="14"/>
      <c r="BA363" s="14"/>
      <c r="BB363" s="14"/>
      <c r="BC363" s="14"/>
      <c r="BD363" s="14"/>
      <c r="BE363" s="14"/>
      <c r="BF363" s="14"/>
      <c r="BG363" s="14"/>
      <c r="BH363" s="14"/>
      <c r="BI363" s="14"/>
      <c r="BJ363" s="14"/>
    </row>
    <row r="364" spans="1:62" customFormat="1">
      <c r="A364" s="92"/>
      <c r="B364" s="15"/>
      <c r="C364" s="277"/>
      <c r="D364" s="13"/>
      <c r="E364" s="270"/>
      <c r="F364" s="259"/>
      <c r="G364" s="13"/>
      <c r="H364" s="260"/>
      <c r="I364" s="240"/>
      <c r="J364" s="240"/>
      <c r="K364" s="240"/>
      <c r="L364" s="240"/>
      <c r="M364" s="240"/>
      <c r="N364" s="240"/>
      <c r="O364" s="240"/>
      <c r="P364" s="240"/>
      <c r="Q364" s="240"/>
      <c r="R364" s="240"/>
      <c r="S364" s="240"/>
      <c r="T364" s="240"/>
      <c r="U364" s="240"/>
      <c r="V364" s="240"/>
      <c r="W364" s="240"/>
      <c r="X364" s="240"/>
      <c r="Y364" s="240"/>
      <c r="Z364" s="240"/>
      <c r="AA364" s="240"/>
      <c r="AB364" s="240"/>
      <c r="AC364" s="240"/>
      <c r="AD364" s="240"/>
      <c r="AE364" s="240"/>
      <c r="AF364" s="240"/>
      <c r="AG364" s="240"/>
      <c r="AH364" s="240"/>
      <c r="AI364" s="240"/>
      <c r="AJ364" s="240"/>
      <c r="AK364" s="13"/>
      <c r="AL364" s="13"/>
      <c r="AM364" s="13"/>
      <c r="AN364" s="13"/>
      <c r="AO364" s="13"/>
      <c r="AP364" s="13"/>
      <c r="AQ364" s="13"/>
      <c r="AR364" s="13"/>
      <c r="AS364" s="13"/>
      <c r="AT364" s="13"/>
      <c r="AU364" s="13"/>
      <c r="AV364" s="13"/>
      <c r="AW364" s="13"/>
      <c r="AX364" s="14"/>
      <c r="AY364" s="14"/>
      <c r="AZ364" s="14"/>
      <c r="BA364" s="14"/>
      <c r="BB364" s="14"/>
      <c r="BC364" s="14"/>
      <c r="BD364" s="14"/>
      <c r="BE364" s="14"/>
      <c r="BF364" s="14"/>
      <c r="BG364" s="14"/>
      <c r="BH364" s="14"/>
      <c r="BI364" s="14"/>
      <c r="BJ364" s="14"/>
    </row>
    <row r="365" spans="1:62" customFormat="1">
      <c r="A365" s="92"/>
      <c r="B365" s="15"/>
      <c r="C365" s="277"/>
      <c r="D365" s="13"/>
      <c r="E365" s="270"/>
      <c r="F365" s="259"/>
      <c r="G365" s="13"/>
      <c r="H365" s="260"/>
      <c r="I365" s="240"/>
      <c r="J365" s="240"/>
      <c r="K365" s="240"/>
      <c r="L365" s="240"/>
      <c r="M365" s="240"/>
      <c r="N365" s="240"/>
      <c r="O365" s="240"/>
      <c r="P365" s="240"/>
      <c r="Q365" s="240"/>
      <c r="R365" s="240"/>
      <c r="S365" s="240"/>
      <c r="T365" s="240"/>
      <c r="U365" s="240"/>
      <c r="V365" s="240"/>
      <c r="W365" s="240"/>
      <c r="X365" s="240"/>
      <c r="Y365" s="240"/>
      <c r="Z365" s="240"/>
      <c r="AA365" s="240"/>
      <c r="AB365" s="240"/>
      <c r="AC365" s="240"/>
      <c r="AD365" s="240"/>
      <c r="AE365" s="240"/>
      <c r="AF365" s="240"/>
      <c r="AG365" s="240"/>
      <c r="AH365" s="240"/>
      <c r="AI365" s="240"/>
      <c r="AJ365" s="240"/>
      <c r="AK365" s="13"/>
      <c r="AL365" s="13"/>
      <c r="AM365" s="13"/>
      <c r="AN365" s="13"/>
      <c r="AO365" s="13"/>
      <c r="AP365" s="13"/>
      <c r="AQ365" s="13"/>
      <c r="AR365" s="13"/>
      <c r="AS365" s="13"/>
      <c r="AT365" s="13"/>
      <c r="AU365" s="13"/>
      <c r="AV365" s="13"/>
      <c r="AW365" s="13"/>
      <c r="AX365" s="14"/>
      <c r="AY365" s="14"/>
      <c r="AZ365" s="14"/>
      <c r="BA365" s="14"/>
      <c r="BB365" s="14"/>
      <c r="BC365" s="14"/>
      <c r="BD365" s="14"/>
      <c r="BE365" s="14"/>
      <c r="BF365" s="14"/>
      <c r="BG365" s="14"/>
      <c r="BH365" s="14"/>
      <c r="BI365" s="14"/>
      <c r="BJ365" s="14"/>
    </row>
    <row r="366" spans="1:62" customFormat="1">
      <c r="A366" s="92"/>
      <c r="B366" s="15"/>
      <c r="C366" s="277"/>
      <c r="D366" s="13"/>
      <c r="E366" s="270"/>
      <c r="F366" s="259"/>
      <c r="G366" s="13"/>
      <c r="H366" s="260"/>
      <c r="I366" s="240"/>
      <c r="J366" s="240"/>
      <c r="K366" s="240"/>
      <c r="L366" s="240"/>
      <c r="M366" s="240"/>
      <c r="N366" s="240"/>
      <c r="O366" s="240"/>
      <c r="P366" s="240"/>
      <c r="Q366" s="240"/>
      <c r="R366" s="240"/>
      <c r="S366" s="240"/>
      <c r="T366" s="240"/>
      <c r="U366" s="240"/>
      <c r="V366" s="240"/>
      <c r="W366" s="240"/>
      <c r="X366" s="240"/>
      <c r="Y366" s="240"/>
      <c r="Z366" s="240"/>
      <c r="AA366" s="240"/>
      <c r="AB366" s="240"/>
      <c r="AC366" s="240"/>
      <c r="AD366" s="240"/>
      <c r="AE366" s="240"/>
      <c r="AF366" s="240"/>
      <c r="AG366" s="240"/>
      <c r="AH366" s="240"/>
      <c r="AI366" s="240"/>
      <c r="AJ366" s="240"/>
      <c r="AK366" s="13"/>
      <c r="AL366" s="13"/>
      <c r="AM366" s="13"/>
      <c r="AN366" s="13"/>
      <c r="AO366" s="13"/>
      <c r="AP366" s="13"/>
      <c r="AQ366" s="13"/>
      <c r="AR366" s="13"/>
      <c r="AS366" s="13"/>
      <c r="AT366" s="13"/>
      <c r="AU366" s="13"/>
      <c r="AV366" s="13"/>
      <c r="AW366" s="13"/>
      <c r="AX366" s="14"/>
      <c r="AY366" s="14"/>
      <c r="AZ366" s="14"/>
      <c r="BA366" s="14"/>
      <c r="BB366" s="14"/>
      <c r="BC366" s="14"/>
      <c r="BD366" s="14"/>
      <c r="BE366" s="14"/>
      <c r="BF366" s="14"/>
      <c r="BG366" s="14"/>
      <c r="BH366" s="14"/>
      <c r="BI366" s="14"/>
      <c r="BJ366" s="14"/>
    </row>
    <row r="367" spans="1:62" customFormat="1">
      <c r="A367" s="92"/>
      <c r="B367" s="15"/>
      <c r="C367" s="277"/>
      <c r="D367" s="13"/>
      <c r="E367" s="270"/>
      <c r="F367" s="259"/>
      <c r="G367" s="13"/>
      <c r="H367" s="260"/>
      <c r="I367" s="240"/>
      <c r="J367" s="240"/>
      <c r="K367" s="240"/>
      <c r="L367" s="240"/>
      <c r="M367" s="240"/>
      <c r="N367" s="240"/>
      <c r="O367" s="240"/>
      <c r="P367" s="240"/>
      <c r="Q367" s="240"/>
      <c r="R367" s="240"/>
      <c r="S367" s="240"/>
      <c r="T367" s="240"/>
      <c r="U367" s="240"/>
      <c r="V367" s="240"/>
      <c r="W367" s="240"/>
      <c r="X367" s="240"/>
      <c r="Y367" s="240"/>
      <c r="Z367" s="240"/>
      <c r="AA367" s="240"/>
      <c r="AB367" s="240"/>
      <c r="AC367" s="240"/>
      <c r="AD367" s="240"/>
      <c r="AE367" s="240"/>
      <c r="AF367" s="240"/>
      <c r="AG367" s="240"/>
      <c r="AH367" s="240"/>
      <c r="AI367" s="240"/>
      <c r="AJ367" s="240"/>
      <c r="AK367" s="13"/>
      <c r="AL367" s="13"/>
      <c r="AM367" s="13"/>
      <c r="AN367" s="13"/>
      <c r="AO367" s="13"/>
      <c r="AP367" s="13"/>
      <c r="AQ367" s="13"/>
      <c r="AR367" s="13"/>
      <c r="AS367" s="13"/>
      <c r="AT367" s="13"/>
      <c r="AU367" s="13"/>
      <c r="AV367" s="13"/>
      <c r="AW367" s="13"/>
      <c r="AX367" s="14"/>
      <c r="AY367" s="14"/>
      <c r="AZ367" s="14"/>
      <c r="BA367" s="14"/>
      <c r="BB367" s="14"/>
      <c r="BC367" s="14"/>
      <c r="BD367" s="14"/>
      <c r="BE367" s="14"/>
      <c r="BF367" s="14"/>
      <c r="BG367" s="14"/>
      <c r="BH367" s="14"/>
      <c r="BI367" s="14"/>
      <c r="BJ367" s="14"/>
    </row>
    <row r="368" spans="1:62" customFormat="1">
      <c r="A368" s="92"/>
      <c r="B368" s="15"/>
      <c r="C368" s="277"/>
      <c r="D368" s="13"/>
      <c r="E368" s="270"/>
      <c r="F368" s="259"/>
      <c r="G368" s="13"/>
      <c r="H368" s="260"/>
      <c r="I368" s="240"/>
      <c r="J368" s="240"/>
      <c r="K368" s="240"/>
      <c r="L368" s="240"/>
      <c r="M368" s="240"/>
      <c r="N368" s="240"/>
      <c r="O368" s="240"/>
      <c r="P368" s="240"/>
      <c r="Q368" s="240"/>
      <c r="R368" s="240"/>
      <c r="S368" s="240"/>
      <c r="T368" s="240"/>
      <c r="U368" s="240"/>
      <c r="V368" s="240"/>
      <c r="W368" s="240"/>
      <c r="X368" s="240"/>
      <c r="Y368" s="240"/>
      <c r="Z368" s="240"/>
      <c r="AA368" s="240"/>
      <c r="AB368" s="240"/>
      <c r="AC368" s="240"/>
      <c r="AD368" s="240"/>
      <c r="AE368" s="240"/>
      <c r="AF368" s="240"/>
      <c r="AG368" s="240"/>
      <c r="AH368" s="240"/>
      <c r="AI368" s="240"/>
      <c r="AJ368" s="240"/>
      <c r="AK368" s="13"/>
      <c r="AL368" s="13"/>
      <c r="AM368" s="13"/>
      <c r="AN368" s="13"/>
      <c r="AO368" s="13"/>
      <c r="AP368" s="13"/>
      <c r="AQ368" s="13"/>
      <c r="AR368" s="13"/>
      <c r="AS368" s="13"/>
      <c r="AT368" s="13"/>
      <c r="AU368" s="13"/>
      <c r="AV368" s="13"/>
      <c r="AW368" s="13"/>
      <c r="AX368" s="14"/>
      <c r="AY368" s="14"/>
      <c r="AZ368" s="14"/>
      <c r="BA368" s="14"/>
      <c r="BB368" s="14"/>
      <c r="BC368" s="14"/>
      <c r="BD368" s="14"/>
      <c r="BE368" s="14"/>
      <c r="BF368" s="14"/>
      <c r="BG368" s="14"/>
      <c r="BH368" s="14"/>
      <c r="BI368" s="14"/>
      <c r="BJ368" s="14"/>
    </row>
    <row r="369" spans="1:62" customFormat="1">
      <c r="A369" s="92"/>
      <c r="B369" s="15"/>
      <c r="C369" s="277"/>
      <c r="D369" s="13"/>
      <c r="E369" s="270"/>
      <c r="F369" s="259"/>
      <c r="G369" s="13"/>
      <c r="H369" s="260"/>
      <c r="I369" s="240"/>
      <c r="J369" s="240"/>
      <c r="K369" s="240"/>
      <c r="L369" s="240"/>
      <c r="M369" s="240"/>
      <c r="N369" s="240"/>
      <c r="O369" s="240"/>
      <c r="P369" s="240"/>
      <c r="Q369" s="240"/>
      <c r="R369" s="240"/>
      <c r="S369" s="240"/>
      <c r="T369" s="240"/>
      <c r="U369" s="240"/>
      <c r="V369" s="240"/>
      <c r="W369" s="240"/>
      <c r="X369" s="240"/>
      <c r="Y369" s="240"/>
      <c r="Z369" s="240"/>
      <c r="AA369" s="240"/>
      <c r="AB369" s="240"/>
      <c r="AC369" s="240"/>
      <c r="AD369" s="240"/>
      <c r="AE369" s="240"/>
      <c r="AF369" s="240"/>
      <c r="AG369" s="240"/>
      <c r="AH369" s="240"/>
      <c r="AI369" s="240"/>
      <c r="AJ369" s="240"/>
      <c r="AK369" s="13"/>
      <c r="AL369" s="13"/>
      <c r="AM369" s="13"/>
      <c r="AN369" s="13"/>
      <c r="AO369" s="13"/>
      <c r="AP369" s="13"/>
      <c r="AQ369" s="13"/>
      <c r="AR369" s="13"/>
      <c r="AS369" s="13"/>
      <c r="AT369" s="13"/>
      <c r="AU369" s="13"/>
      <c r="AV369" s="13"/>
      <c r="AW369" s="13"/>
      <c r="AX369" s="14"/>
      <c r="AY369" s="14"/>
      <c r="AZ369" s="14"/>
      <c r="BA369" s="14"/>
      <c r="BB369" s="14"/>
      <c r="BC369" s="14"/>
      <c r="BD369" s="14"/>
      <c r="BE369" s="14"/>
      <c r="BF369" s="14"/>
      <c r="BG369" s="14"/>
      <c r="BH369" s="14"/>
      <c r="BI369" s="14"/>
      <c r="BJ369" s="14"/>
    </row>
    <row r="370" spans="1:62" customFormat="1">
      <c r="A370" s="92"/>
      <c r="B370" s="15"/>
      <c r="C370" s="277"/>
      <c r="D370" s="13"/>
      <c r="E370" s="270"/>
      <c r="F370" s="259"/>
      <c r="G370" s="13"/>
      <c r="H370" s="260"/>
      <c r="I370" s="240"/>
      <c r="J370" s="240"/>
      <c r="K370" s="240"/>
      <c r="L370" s="240"/>
      <c r="M370" s="240"/>
      <c r="N370" s="240"/>
      <c r="O370" s="240"/>
      <c r="P370" s="240"/>
      <c r="Q370" s="240"/>
      <c r="R370" s="240"/>
      <c r="S370" s="240"/>
      <c r="T370" s="240"/>
      <c r="U370" s="240"/>
      <c r="V370" s="240"/>
      <c r="W370" s="240"/>
      <c r="X370" s="240"/>
      <c r="Y370" s="240"/>
      <c r="Z370" s="240"/>
      <c r="AA370" s="240"/>
      <c r="AB370" s="240"/>
      <c r="AC370" s="240"/>
      <c r="AD370" s="240"/>
      <c r="AE370" s="240"/>
      <c r="AF370" s="240"/>
      <c r="AG370" s="240"/>
      <c r="AH370" s="240"/>
      <c r="AI370" s="240"/>
      <c r="AJ370" s="240"/>
      <c r="AK370" s="13"/>
      <c r="AL370" s="13"/>
      <c r="AM370" s="13"/>
      <c r="AN370" s="13"/>
      <c r="AO370" s="13"/>
      <c r="AP370" s="13"/>
      <c r="AQ370" s="13"/>
      <c r="AR370" s="13"/>
      <c r="AS370" s="13"/>
      <c r="AT370" s="13"/>
      <c r="AU370" s="13"/>
      <c r="AV370" s="13"/>
      <c r="AW370" s="13"/>
      <c r="AX370" s="14"/>
      <c r="AY370" s="14"/>
      <c r="AZ370" s="14"/>
      <c r="BA370" s="14"/>
      <c r="BB370" s="14"/>
      <c r="BC370" s="14"/>
      <c r="BD370" s="14"/>
      <c r="BE370" s="14"/>
      <c r="BF370" s="14"/>
      <c r="BG370" s="14"/>
      <c r="BH370" s="14"/>
      <c r="BI370" s="14"/>
      <c r="BJ370" s="14"/>
    </row>
    <row r="371" spans="1:62" customFormat="1">
      <c r="A371" s="92"/>
      <c r="B371" s="15"/>
      <c r="C371" s="277"/>
      <c r="D371" s="13"/>
      <c r="E371" s="270"/>
      <c r="F371" s="259"/>
      <c r="G371" s="13"/>
      <c r="H371" s="260"/>
      <c r="I371" s="240"/>
      <c r="J371" s="240"/>
      <c r="K371" s="240"/>
      <c r="L371" s="240"/>
      <c r="M371" s="240"/>
      <c r="N371" s="240"/>
      <c r="O371" s="240"/>
      <c r="P371" s="240"/>
      <c r="Q371" s="240"/>
      <c r="R371" s="240"/>
      <c r="S371" s="240"/>
      <c r="T371" s="240"/>
      <c r="U371" s="240"/>
      <c r="V371" s="240"/>
      <c r="W371" s="240"/>
      <c r="X371" s="240"/>
      <c r="Y371" s="240"/>
      <c r="Z371" s="240"/>
      <c r="AA371" s="240"/>
      <c r="AB371" s="240"/>
      <c r="AC371" s="240"/>
      <c r="AD371" s="240"/>
      <c r="AE371" s="240"/>
      <c r="AF371" s="240"/>
      <c r="AG371" s="240"/>
      <c r="AH371" s="240"/>
      <c r="AI371" s="240"/>
      <c r="AJ371" s="240"/>
      <c r="AK371" s="13"/>
      <c r="AL371" s="13"/>
      <c r="AM371" s="13"/>
      <c r="AN371" s="13"/>
      <c r="AO371" s="13"/>
      <c r="AP371" s="13"/>
      <c r="AQ371" s="13"/>
      <c r="AR371" s="13"/>
      <c r="AS371" s="13"/>
      <c r="AT371" s="13"/>
      <c r="AU371" s="13"/>
      <c r="AV371" s="13"/>
      <c r="AW371" s="13"/>
      <c r="AX371" s="14"/>
      <c r="AY371" s="14"/>
      <c r="AZ371" s="14"/>
      <c r="BA371" s="14"/>
      <c r="BB371" s="14"/>
      <c r="BC371" s="14"/>
      <c r="BD371" s="14"/>
      <c r="BE371" s="14"/>
      <c r="BF371" s="14"/>
      <c r="BG371" s="14"/>
      <c r="BH371" s="14"/>
      <c r="BI371" s="14"/>
      <c r="BJ371" s="14"/>
    </row>
    <row r="372" spans="1:62" customFormat="1">
      <c r="A372" s="92"/>
      <c r="B372" s="15"/>
      <c r="C372" s="277"/>
      <c r="D372" s="13"/>
      <c r="E372" s="270"/>
      <c r="F372" s="259"/>
      <c r="G372" s="13"/>
      <c r="H372" s="260"/>
      <c r="I372" s="240"/>
      <c r="J372" s="240"/>
      <c r="K372" s="240"/>
      <c r="L372" s="240"/>
      <c r="M372" s="240"/>
      <c r="N372" s="240"/>
      <c r="O372" s="240"/>
      <c r="P372" s="240"/>
      <c r="Q372" s="240"/>
      <c r="R372" s="240"/>
      <c r="S372" s="240"/>
      <c r="T372" s="240"/>
      <c r="U372" s="240"/>
      <c r="V372" s="240"/>
      <c r="W372" s="240"/>
      <c r="X372" s="240"/>
      <c r="Y372" s="240"/>
      <c r="Z372" s="240"/>
      <c r="AA372" s="240"/>
      <c r="AB372" s="240"/>
      <c r="AC372" s="240"/>
      <c r="AD372" s="240"/>
      <c r="AE372" s="240"/>
      <c r="AF372" s="240"/>
      <c r="AG372" s="240"/>
      <c r="AH372" s="240"/>
      <c r="AI372" s="240"/>
      <c r="AJ372" s="240"/>
      <c r="AK372" s="13"/>
      <c r="AL372" s="13"/>
      <c r="AM372" s="13"/>
      <c r="AN372" s="13"/>
      <c r="AO372" s="13"/>
      <c r="AP372" s="13"/>
      <c r="AQ372" s="13"/>
      <c r="AR372" s="13"/>
      <c r="AS372" s="13"/>
      <c r="AT372" s="13"/>
      <c r="AU372" s="13"/>
      <c r="AV372" s="13"/>
      <c r="AW372" s="13"/>
      <c r="AX372" s="14"/>
      <c r="AY372" s="14"/>
      <c r="AZ372" s="14"/>
      <c r="BA372" s="14"/>
      <c r="BB372" s="14"/>
      <c r="BC372" s="14"/>
      <c r="BD372" s="14"/>
      <c r="BE372" s="14"/>
      <c r="BF372" s="14"/>
      <c r="BG372" s="14"/>
      <c r="BH372" s="14"/>
      <c r="BI372" s="14"/>
      <c r="BJ372" s="14"/>
    </row>
    <row r="373" spans="1:62" customFormat="1">
      <c r="A373" s="92"/>
      <c r="B373" s="15"/>
      <c r="C373" s="277"/>
      <c r="D373" s="13"/>
      <c r="E373" s="270"/>
      <c r="F373" s="259"/>
      <c r="G373" s="13"/>
      <c r="H373" s="260"/>
      <c r="I373" s="240"/>
      <c r="J373" s="240"/>
      <c r="K373" s="240"/>
      <c r="L373" s="240"/>
      <c r="M373" s="240"/>
      <c r="N373" s="240"/>
      <c r="O373" s="240"/>
      <c r="P373" s="240"/>
      <c r="Q373" s="240"/>
      <c r="R373" s="240"/>
      <c r="S373" s="240"/>
      <c r="T373" s="240"/>
      <c r="U373" s="240"/>
      <c r="V373" s="240"/>
      <c r="W373" s="240"/>
      <c r="X373" s="240"/>
      <c r="Y373" s="240"/>
      <c r="Z373" s="240"/>
      <c r="AA373" s="240"/>
      <c r="AB373" s="240"/>
      <c r="AC373" s="240"/>
      <c r="AD373" s="240"/>
      <c r="AE373" s="240"/>
      <c r="AF373" s="240"/>
      <c r="AG373" s="240"/>
      <c r="AH373" s="240"/>
      <c r="AI373" s="240"/>
      <c r="AJ373" s="240"/>
      <c r="AK373" s="13"/>
      <c r="AL373" s="13"/>
      <c r="AM373" s="13"/>
      <c r="AN373" s="13"/>
      <c r="AO373" s="13"/>
      <c r="AP373" s="13"/>
      <c r="AQ373" s="13"/>
      <c r="AR373" s="13"/>
      <c r="AS373" s="13"/>
      <c r="AT373" s="13"/>
      <c r="AU373" s="13"/>
      <c r="AV373" s="13"/>
      <c r="AW373" s="13"/>
      <c r="AX373" s="14"/>
      <c r="AY373" s="14"/>
      <c r="AZ373" s="14"/>
      <c r="BA373" s="14"/>
      <c r="BB373" s="14"/>
      <c r="BC373" s="14"/>
      <c r="BD373" s="14"/>
      <c r="BE373" s="14"/>
      <c r="BF373" s="14"/>
      <c r="BG373" s="14"/>
      <c r="BH373" s="14"/>
      <c r="BI373" s="14"/>
      <c r="BJ373" s="14"/>
    </row>
    <row r="374" spans="1:62" customFormat="1">
      <c r="A374" s="92"/>
      <c r="B374" s="15"/>
      <c r="C374" s="277"/>
      <c r="D374" s="13"/>
      <c r="E374" s="270"/>
      <c r="F374" s="259"/>
      <c r="G374" s="13"/>
      <c r="H374" s="260"/>
      <c r="I374" s="240"/>
      <c r="J374" s="240"/>
      <c r="K374" s="240"/>
      <c r="L374" s="240"/>
      <c r="M374" s="240"/>
      <c r="N374" s="240"/>
      <c r="O374" s="240"/>
      <c r="P374" s="240"/>
      <c r="Q374" s="240"/>
      <c r="R374" s="240"/>
      <c r="S374" s="240"/>
      <c r="T374" s="240"/>
      <c r="U374" s="240"/>
      <c r="V374" s="240"/>
      <c r="W374" s="240"/>
      <c r="X374" s="240"/>
      <c r="Y374" s="240"/>
      <c r="Z374" s="240"/>
      <c r="AA374" s="240"/>
      <c r="AB374" s="240"/>
      <c r="AC374" s="240"/>
      <c r="AD374" s="240"/>
      <c r="AE374" s="240"/>
      <c r="AF374" s="240"/>
      <c r="AG374" s="240"/>
      <c r="AH374" s="240"/>
      <c r="AI374" s="240"/>
      <c r="AJ374" s="240"/>
      <c r="AK374" s="13"/>
      <c r="AL374" s="13"/>
      <c r="AM374" s="13"/>
      <c r="AN374" s="13"/>
      <c r="AO374" s="13"/>
      <c r="AP374" s="13"/>
      <c r="AQ374" s="13"/>
      <c r="AR374" s="13"/>
      <c r="AS374" s="13"/>
      <c r="AT374" s="13"/>
      <c r="AU374" s="13"/>
      <c r="AV374" s="13"/>
      <c r="AW374" s="13"/>
      <c r="AX374" s="14"/>
      <c r="AY374" s="14"/>
      <c r="AZ374" s="14"/>
      <c r="BA374" s="14"/>
      <c r="BB374" s="14"/>
      <c r="BC374" s="14"/>
      <c r="BD374" s="14"/>
      <c r="BE374" s="14"/>
      <c r="BF374" s="14"/>
      <c r="BG374" s="14"/>
      <c r="BH374" s="14"/>
      <c r="BI374" s="14"/>
      <c r="BJ374" s="14"/>
    </row>
    <row r="375" spans="1:62" customFormat="1">
      <c r="A375" s="92"/>
      <c r="B375" s="15"/>
      <c r="C375" s="277"/>
      <c r="D375" s="13"/>
      <c r="E375" s="270"/>
      <c r="F375" s="259"/>
      <c r="G375" s="13"/>
      <c r="H375" s="260"/>
      <c r="I375" s="240"/>
      <c r="J375" s="240"/>
      <c r="K375" s="240"/>
      <c r="L375" s="240"/>
      <c r="M375" s="240"/>
      <c r="N375" s="240"/>
      <c r="O375" s="240"/>
      <c r="P375" s="240"/>
      <c r="Q375" s="240"/>
      <c r="R375" s="240"/>
      <c r="S375" s="240"/>
      <c r="T375" s="240"/>
      <c r="U375" s="240"/>
      <c r="V375" s="240"/>
      <c r="W375" s="240"/>
      <c r="X375" s="240"/>
      <c r="Y375" s="240"/>
      <c r="Z375" s="240"/>
      <c r="AA375" s="240"/>
      <c r="AB375" s="240"/>
      <c r="AC375" s="240"/>
      <c r="AD375" s="240"/>
      <c r="AE375" s="240"/>
      <c r="AF375" s="240"/>
      <c r="AG375" s="240"/>
      <c r="AH375" s="240"/>
      <c r="AI375" s="240"/>
      <c r="AJ375" s="240"/>
      <c r="AK375" s="13"/>
      <c r="AL375" s="13"/>
      <c r="AM375" s="13"/>
      <c r="AN375" s="13"/>
      <c r="AO375" s="13"/>
      <c r="AP375" s="13"/>
      <c r="AQ375" s="13"/>
      <c r="AR375" s="13"/>
      <c r="AS375" s="13"/>
      <c r="AT375" s="13"/>
      <c r="AU375" s="13"/>
      <c r="AV375" s="13"/>
      <c r="AW375" s="13"/>
      <c r="AX375" s="14"/>
      <c r="AY375" s="14"/>
      <c r="AZ375" s="14"/>
      <c r="BA375" s="14"/>
      <c r="BB375" s="14"/>
      <c r="BC375" s="14"/>
      <c r="BD375" s="14"/>
      <c r="BE375" s="14"/>
      <c r="BF375" s="14"/>
      <c r="BG375" s="14"/>
      <c r="BH375" s="14"/>
      <c r="BI375" s="14"/>
      <c r="BJ375" s="14"/>
    </row>
    <row r="376" spans="1:62" customFormat="1">
      <c r="A376" s="92"/>
      <c r="B376" s="15"/>
      <c r="C376" s="277"/>
      <c r="D376" s="13"/>
      <c r="E376" s="270"/>
      <c r="F376" s="259"/>
      <c r="G376" s="13"/>
      <c r="H376" s="260"/>
      <c r="I376" s="240"/>
      <c r="J376" s="240"/>
      <c r="K376" s="240"/>
      <c r="L376" s="240"/>
      <c r="M376" s="240"/>
      <c r="N376" s="240"/>
      <c r="O376" s="240"/>
      <c r="P376" s="240"/>
      <c r="Q376" s="240"/>
      <c r="R376" s="240"/>
      <c r="S376" s="240"/>
      <c r="T376" s="240"/>
      <c r="U376" s="240"/>
      <c r="V376" s="240"/>
      <c r="W376" s="240"/>
      <c r="X376" s="240"/>
      <c r="Y376" s="240"/>
      <c r="Z376" s="240"/>
      <c r="AA376" s="240"/>
      <c r="AB376" s="240"/>
      <c r="AC376" s="240"/>
      <c r="AD376" s="240"/>
      <c r="AE376" s="240"/>
      <c r="AF376" s="240"/>
      <c r="AG376" s="240"/>
      <c r="AH376" s="240"/>
      <c r="AI376" s="240"/>
      <c r="AJ376" s="240"/>
      <c r="AK376" s="13"/>
      <c r="AL376" s="13"/>
      <c r="AM376" s="13"/>
      <c r="AN376" s="13"/>
      <c r="AO376" s="13"/>
      <c r="AP376" s="13"/>
      <c r="AQ376" s="13"/>
      <c r="AR376" s="13"/>
      <c r="AS376" s="13"/>
      <c r="AT376" s="13"/>
      <c r="AU376" s="13"/>
      <c r="AV376" s="13"/>
      <c r="AW376" s="13"/>
      <c r="AX376" s="14"/>
      <c r="AY376" s="14"/>
      <c r="AZ376" s="14"/>
      <c r="BA376" s="14"/>
      <c r="BB376" s="14"/>
      <c r="BC376" s="14"/>
      <c r="BD376" s="14"/>
      <c r="BE376" s="14"/>
      <c r="BF376" s="14"/>
      <c r="BG376" s="14"/>
      <c r="BH376" s="14"/>
      <c r="BI376" s="14"/>
      <c r="BJ376" s="14"/>
    </row>
    <row r="377" spans="1:62" customFormat="1">
      <c r="A377" s="92"/>
      <c r="B377" s="15"/>
      <c r="C377" s="277"/>
      <c r="D377" s="13"/>
      <c r="E377" s="270"/>
      <c r="F377" s="259"/>
      <c r="G377" s="13"/>
      <c r="H377" s="260"/>
      <c r="I377" s="240"/>
      <c r="J377" s="240"/>
      <c r="K377" s="240"/>
      <c r="L377" s="240"/>
      <c r="M377" s="240"/>
      <c r="N377" s="240"/>
      <c r="O377" s="240"/>
      <c r="P377" s="240"/>
      <c r="Q377" s="240"/>
      <c r="R377" s="240"/>
      <c r="S377" s="240"/>
      <c r="T377" s="240"/>
      <c r="U377" s="240"/>
      <c r="V377" s="240"/>
      <c r="W377" s="240"/>
      <c r="X377" s="240"/>
      <c r="Y377" s="240"/>
      <c r="Z377" s="240"/>
      <c r="AA377" s="240"/>
      <c r="AB377" s="240"/>
      <c r="AC377" s="240"/>
      <c r="AD377" s="240"/>
      <c r="AE377" s="240"/>
      <c r="AF377" s="240"/>
      <c r="AG377" s="240"/>
      <c r="AH377" s="240"/>
      <c r="AI377" s="240"/>
      <c r="AJ377" s="240"/>
      <c r="AK377" s="13"/>
      <c r="AL377" s="13"/>
      <c r="AM377" s="13"/>
      <c r="AN377" s="13"/>
      <c r="AO377" s="13"/>
      <c r="AP377" s="13"/>
      <c r="AQ377" s="13"/>
      <c r="AR377" s="13"/>
      <c r="AS377" s="13"/>
      <c r="AT377" s="13"/>
      <c r="AU377" s="13"/>
      <c r="AV377" s="13"/>
      <c r="AW377" s="13"/>
      <c r="AX377" s="14"/>
      <c r="AY377" s="14"/>
      <c r="AZ377" s="14"/>
      <c r="BA377" s="14"/>
      <c r="BB377" s="14"/>
      <c r="BC377" s="14"/>
      <c r="BD377" s="14"/>
      <c r="BE377" s="14"/>
      <c r="BF377" s="14"/>
      <c r="BG377" s="14"/>
      <c r="BH377" s="14"/>
      <c r="BI377" s="14"/>
      <c r="BJ377" s="14"/>
    </row>
    <row r="378" spans="1:62" customFormat="1">
      <c r="A378" s="92"/>
      <c r="B378" s="15"/>
      <c r="C378" s="277"/>
      <c r="D378" s="13"/>
      <c r="E378" s="270"/>
      <c r="F378" s="259"/>
      <c r="G378" s="13"/>
      <c r="H378" s="260"/>
      <c r="I378" s="240"/>
      <c r="J378" s="240"/>
      <c r="K378" s="240"/>
      <c r="L378" s="240"/>
      <c r="M378" s="240"/>
      <c r="N378" s="240"/>
      <c r="O378" s="240"/>
      <c r="P378" s="240"/>
      <c r="Q378" s="240"/>
      <c r="R378" s="240"/>
      <c r="S378" s="240"/>
      <c r="T378" s="240"/>
      <c r="U378" s="240"/>
      <c r="V378" s="240"/>
      <c r="W378" s="240"/>
      <c r="X378" s="240"/>
      <c r="Y378" s="240"/>
      <c r="Z378" s="240"/>
      <c r="AA378" s="240"/>
      <c r="AB378" s="240"/>
      <c r="AC378" s="240"/>
      <c r="AD378" s="240"/>
      <c r="AE378" s="240"/>
      <c r="AF378" s="240"/>
      <c r="AG378" s="240"/>
      <c r="AH378" s="240"/>
      <c r="AI378" s="240"/>
      <c r="AJ378" s="240"/>
      <c r="AK378" s="13"/>
      <c r="AL378" s="13"/>
      <c r="AM378" s="13"/>
      <c r="AN378" s="13"/>
      <c r="AO378" s="13"/>
      <c r="AP378" s="13"/>
      <c r="AQ378" s="13"/>
      <c r="AR378" s="13"/>
      <c r="AS378" s="13"/>
      <c r="AT378" s="13"/>
      <c r="AU378" s="13"/>
      <c r="AV378" s="13"/>
      <c r="AW378" s="13"/>
      <c r="AX378" s="14"/>
      <c r="AY378" s="14"/>
      <c r="AZ378" s="14"/>
      <c r="BA378" s="14"/>
      <c r="BB378" s="14"/>
      <c r="BC378" s="14"/>
      <c r="BD378" s="14"/>
      <c r="BE378" s="14"/>
      <c r="BF378" s="14"/>
      <c r="BG378" s="14"/>
      <c r="BH378" s="14"/>
      <c r="BI378" s="14"/>
      <c r="BJ378" s="14"/>
    </row>
    <row r="379" spans="1:62" customFormat="1">
      <c r="A379" s="92"/>
      <c r="B379" s="15"/>
      <c r="C379" s="277"/>
      <c r="D379" s="13"/>
      <c r="E379" s="270"/>
      <c r="F379" s="259"/>
      <c r="G379" s="13"/>
      <c r="H379" s="260"/>
      <c r="I379" s="240"/>
      <c r="J379" s="240"/>
      <c r="K379" s="240"/>
      <c r="L379" s="240"/>
      <c r="M379" s="240"/>
      <c r="N379" s="240"/>
      <c r="O379" s="240"/>
      <c r="P379" s="240"/>
      <c r="Q379" s="240"/>
      <c r="R379" s="240"/>
      <c r="S379" s="240"/>
      <c r="T379" s="240"/>
      <c r="U379" s="240"/>
      <c r="V379" s="240"/>
      <c r="W379" s="240"/>
      <c r="X379" s="240"/>
      <c r="Y379" s="240"/>
      <c r="Z379" s="240"/>
      <c r="AA379" s="240"/>
      <c r="AB379" s="240"/>
      <c r="AC379" s="240"/>
      <c r="AD379" s="240"/>
      <c r="AE379" s="240"/>
      <c r="AF379" s="240"/>
      <c r="AG379" s="240"/>
      <c r="AH379" s="240"/>
      <c r="AI379" s="240"/>
      <c r="AJ379" s="240"/>
      <c r="AK379" s="13"/>
      <c r="AL379" s="13"/>
      <c r="AM379" s="13"/>
      <c r="AN379" s="13"/>
      <c r="AO379" s="13"/>
      <c r="AP379" s="13"/>
      <c r="AQ379" s="13"/>
      <c r="AR379" s="13"/>
      <c r="AS379" s="13"/>
      <c r="AT379" s="13"/>
      <c r="AU379" s="13"/>
      <c r="AV379" s="13"/>
      <c r="AW379" s="13"/>
      <c r="AX379" s="14"/>
      <c r="AY379" s="14"/>
      <c r="AZ379" s="14"/>
      <c r="BA379" s="14"/>
      <c r="BB379" s="14"/>
      <c r="BC379" s="14"/>
      <c r="BD379" s="14"/>
      <c r="BE379" s="14"/>
      <c r="BF379" s="14"/>
      <c r="BG379" s="14"/>
      <c r="BH379" s="14"/>
      <c r="BI379" s="14"/>
      <c r="BJ379" s="14"/>
    </row>
    <row r="380" spans="1:62" customFormat="1">
      <c r="A380" s="92"/>
      <c r="B380" s="15"/>
      <c r="C380" s="277"/>
      <c r="D380" s="13"/>
      <c r="E380" s="270"/>
      <c r="F380" s="259"/>
      <c r="G380" s="13"/>
      <c r="H380" s="260"/>
      <c r="I380" s="240"/>
      <c r="J380" s="240"/>
      <c r="K380" s="240"/>
      <c r="L380" s="240"/>
      <c r="M380" s="240"/>
      <c r="N380" s="240"/>
      <c r="O380" s="240"/>
      <c r="P380" s="240"/>
      <c r="Q380" s="240"/>
      <c r="R380" s="240"/>
      <c r="S380" s="240"/>
      <c r="T380" s="240"/>
      <c r="U380" s="240"/>
      <c r="V380" s="240"/>
      <c r="W380" s="240"/>
      <c r="X380" s="240"/>
      <c r="Y380" s="240"/>
      <c r="Z380" s="240"/>
      <c r="AA380" s="240"/>
      <c r="AB380" s="240"/>
      <c r="AC380" s="240"/>
      <c r="AD380" s="240"/>
      <c r="AE380" s="240"/>
      <c r="AF380" s="240"/>
      <c r="AG380" s="240"/>
      <c r="AH380" s="240"/>
      <c r="AI380" s="240"/>
      <c r="AJ380" s="240"/>
      <c r="AK380" s="13"/>
      <c r="AL380" s="13"/>
      <c r="AM380" s="13"/>
      <c r="AN380" s="13"/>
      <c r="AO380" s="13"/>
      <c r="AP380" s="13"/>
      <c r="AQ380" s="13"/>
      <c r="AR380" s="13"/>
      <c r="AS380" s="13"/>
      <c r="AT380" s="13"/>
      <c r="AU380" s="13"/>
      <c r="AV380" s="13"/>
      <c r="AW380" s="13"/>
      <c r="AX380" s="14"/>
      <c r="AY380" s="14"/>
      <c r="AZ380" s="14"/>
      <c r="BA380" s="14"/>
      <c r="BB380" s="14"/>
      <c r="BC380" s="14"/>
      <c r="BD380" s="14"/>
      <c r="BE380" s="14"/>
      <c r="BF380" s="14"/>
      <c r="BG380" s="14"/>
      <c r="BH380" s="14"/>
      <c r="BI380" s="14"/>
      <c r="BJ380" s="14"/>
    </row>
    <row r="381" spans="1:62" customFormat="1">
      <c r="A381" s="92"/>
      <c r="B381" s="15"/>
      <c r="C381" s="277"/>
      <c r="D381" s="13"/>
      <c r="E381" s="270"/>
      <c r="F381" s="259"/>
      <c r="G381" s="13"/>
      <c r="H381" s="260"/>
      <c r="I381" s="240"/>
      <c r="J381" s="240"/>
      <c r="K381" s="240"/>
      <c r="L381" s="240"/>
      <c r="M381" s="240"/>
      <c r="N381" s="240"/>
      <c r="O381" s="240"/>
      <c r="P381" s="240"/>
      <c r="Q381" s="240"/>
      <c r="R381" s="240"/>
      <c r="S381" s="240"/>
      <c r="T381" s="240"/>
      <c r="U381" s="240"/>
      <c r="V381" s="240"/>
      <c r="W381" s="240"/>
      <c r="X381" s="240"/>
      <c r="Y381" s="240"/>
      <c r="Z381" s="240"/>
      <c r="AA381" s="240"/>
      <c r="AB381" s="240"/>
      <c r="AC381" s="240"/>
      <c r="AD381" s="240"/>
      <c r="AE381" s="240"/>
      <c r="AF381" s="240"/>
      <c r="AG381" s="240"/>
      <c r="AH381" s="240"/>
      <c r="AI381" s="240"/>
      <c r="AJ381" s="240"/>
      <c r="AK381" s="13"/>
      <c r="AL381" s="13"/>
      <c r="AM381" s="13"/>
      <c r="AN381" s="13"/>
      <c r="AO381" s="13"/>
      <c r="AP381" s="13"/>
      <c r="AQ381" s="13"/>
      <c r="AR381" s="13"/>
      <c r="AS381" s="13"/>
      <c r="AT381" s="13"/>
      <c r="AU381" s="13"/>
      <c r="AV381" s="13"/>
      <c r="AW381" s="13"/>
      <c r="AX381" s="14"/>
      <c r="AY381" s="14"/>
      <c r="AZ381" s="14"/>
      <c r="BA381" s="14"/>
      <c r="BB381" s="14"/>
      <c r="BC381" s="14"/>
      <c r="BD381" s="14"/>
      <c r="BE381" s="14"/>
      <c r="BF381" s="14"/>
      <c r="BG381" s="14"/>
      <c r="BH381" s="14"/>
      <c r="BI381" s="14"/>
      <c r="BJ381" s="14"/>
    </row>
    <row r="382" spans="1:62" customFormat="1">
      <c r="A382" s="92"/>
      <c r="B382" s="15"/>
      <c r="C382" s="277"/>
      <c r="D382" s="13"/>
      <c r="E382" s="270"/>
      <c r="F382" s="259"/>
      <c r="G382" s="13"/>
      <c r="H382" s="260"/>
      <c r="I382" s="240"/>
      <c r="J382" s="240"/>
      <c r="K382" s="240"/>
      <c r="L382" s="240"/>
      <c r="M382" s="240"/>
      <c r="N382" s="240"/>
      <c r="O382" s="240"/>
      <c r="P382" s="240"/>
      <c r="Q382" s="240"/>
      <c r="R382" s="240"/>
      <c r="S382" s="240"/>
      <c r="T382" s="240"/>
      <c r="U382" s="240"/>
      <c r="V382" s="240"/>
      <c r="W382" s="240"/>
      <c r="X382" s="240"/>
      <c r="Y382" s="240"/>
      <c r="Z382" s="240"/>
      <c r="AA382" s="240"/>
      <c r="AB382" s="240"/>
      <c r="AC382" s="240"/>
      <c r="AD382" s="240"/>
      <c r="AE382" s="240"/>
      <c r="AF382" s="240"/>
      <c r="AG382" s="240"/>
      <c r="AH382" s="240"/>
      <c r="AI382" s="240"/>
      <c r="AJ382" s="240"/>
      <c r="AK382" s="13"/>
      <c r="AL382" s="13"/>
      <c r="AM382" s="13"/>
      <c r="AN382" s="13"/>
      <c r="AO382" s="13"/>
      <c r="AP382" s="13"/>
      <c r="AQ382" s="13"/>
      <c r="AR382" s="13"/>
      <c r="AS382" s="13"/>
      <c r="AT382" s="13"/>
      <c r="AU382" s="13"/>
      <c r="AV382" s="13"/>
      <c r="AW382" s="13"/>
      <c r="AX382" s="14"/>
      <c r="AY382" s="14"/>
      <c r="AZ382" s="14"/>
      <c r="BA382" s="14"/>
      <c r="BB382" s="14"/>
      <c r="BC382" s="14"/>
      <c r="BD382" s="14"/>
      <c r="BE382" s="14"/>
      <c r="BF382" s="14"/>
      <c r="BG382" s="14"/>
      <c r="BH382" s="14"/>
      <c r="BI382" s="14"/>
      <c r="BJ382" s="14"/>
    </row>
    <row r="383" spans="1:62" customFormat="1">
      <c r="A383" s="92"/>
      <c r="B383" s="15"/>
      <c r="C383" s="277"/>
      <c r="D383" s="13"/>
      <c r="E383" s="270"/>
      <c r="F383" s="259"/>
      <c r="G383" s="13"/>
      <c r="H383" s="260"/>
      <c r="I383" s="240"/>
      <c r="J383" s="240"/>
      <c r="K383" s="240"/>
      <c r="L383" s="240"/>
      <c r="M383" s="240"/>
      <c r="N383" s="240"/>
      <c r="O383" s="240"/>
      <c r="P383" s="240"/>
      <c r="Q383" s="240"/>
      <c r="R383" s="240"/>
      <c r="S383" s="240"/>
      <c r="T383" s="240"/>
      <c r="U383" s="240"/>
      <c r="V383" s="240"/>
      <c r="W383" s="240"/>
      <c r="X383" s="240"/>
      <c r="Y383" s="240"/>
      <c r="Z383" s="240"/>
      <c r="AA383" s="240"/>
      <c r="AB383" s="240"/>
      <c r="AC383" s="240"/>
      <c r="AD383" s="240"/>
      <c r="AE383" s="240"/>
      <c r="AF383" s="240"/>
      <c r="AG383" s="240"/>
      <c r="AH383" s="240"/>
      <c r="AI383" s="240"/>
      <c r="AJ383" s="240"/>
      <c r="AK383" s="13"/>
      <c r="AL383" s="13"/>
      <c r="AM383" s="13"/>
      <c r="AN383" s="13"/>
      <c r="AO383" s="13"/>
      <c r="AP383" s="13"/>
      <c r="AQ383" s="13"/>
      <c r="AR383" s="13"/>
      <c r="AS383" s="13"/>
      <c r="AT383" s="13"/>
      <c r="AU383" s="13"/>
      <c r="AV383" s="13"/>
      <c r="AW383" s="13"/>
      <c r="AX383" s="14"/>
      <c r="AY383" s="14"/>
      <c r="AZ383" s="14"/>
      <c r="BA383" s="14"/>
      <c r="BB383" s="14"/>
      <c r="BC383" s="14"/>
      <c r="BD383" s="14"/>
      <c r="BE383" s="14"/>
      <c r="BF383" s="14"/>
      <c r="BG383" s="14"/>
      <c r="BH383" s="14"/>
      <c r="BI383" s="14"/>
      <c r="BJ383" s="14"/>
    </row>
    <row r="384" spans="1:62" customFormat="1">
      <c r="A384" s="92"/>
      <c r="B384" s="15"/>
      <c r="C384" s="277"/>
      <c r="D384" s="13"/>
      <c r="E384" s="270"/>
      <c r="F384" s="259"/>
      <c r="G384" s="13"/>
      <c r="H384" s="260"/>
      <c r="I384" s="240"/>
      <c r="J384" s="240"/>
      <c r="K384" s="240"/>
      <c r="L384" s="240"/>
      <c r="M384" s="240"/>
      <c r="N384" s="240"/>
      <c r="O384" s="240"/>
      <c r="P384" s="240"/>
      <c r="Q384" s="240"/>
      <c r="R384" s="240"/>
      <c r="S384" s="240"/>
      <c r="T384" s="240"/>
      <c r="U384" s="240"/>
      <c r="V384" s="240"/>
      <c r="W384" s="240"/>
      <c r="X384" s="240"/>
      <c r="Y384" s="240"/>
      <c r="Z384" s="240"/>
      <c r="AA384" s="240"/>
      <c r="AB384" s="240"/>
      <c r="AC384" s="240"/>
      <c r="AD384" s="240"/>
      <c r="AE384" s="240"/>
      <c r="AF384" s="240"/>
      <c r="AG384" s="240"/>
      <c r="AH384" s="240"/>
      <c r="AI384" s="240"/>
      <c r="AJ384" s="240"/>
      <c r="AK384" s="13"/>
      <c r="AL384" s="13"/>
      <c r="AM384" s="13"/>
      <c r="AN384" s="13"/>
      <c r="AO384" s="13"/>
      <c r="AP384" s="13"/>
      <c r="AQ384" s="13"/>
      <c r="AR384" s="13"/>
      <c r="AS384" s="13"/>
      <c r="AT384" s="13"/>
      <c r="AU384" s="13"/>
      <c r="AV384" s="13"/>
      <c r="AW384" s="13"/>
      <c r="AX384" s="14"/>
      <c r="AY384" s="14"/>
      <c r="AZ384" s="14"/>
      <c r="BA384" s="14"/>
      <c r="BB384" s="14"/>
      <c r="BC384" s="14"/>
      <c r="BD384" s="14"/>
      <c r="BE384" s="14"/>
      <c r="BF384" s="14"/>
      <c r="BG384" s="14"/>
      <c r="BH384" s="14"/>
      <c r="BI384" s="14"/>
      <c r="BJ384" s="14"/>
    </row>
    <row r="385" spans="1:62" customFormat="1">
      <c r="A385" s="92"/>
      <c r="B385" s="15"/>
      <c r="C385" s="277"/>
      <c r="D385" s="13"/>
      <c r="E385" s="270"/>
      <c r="F385" s="259"/>
      <c r="G385" s="13"/>
      <c r="H385" s="260"/>
      <c r="I385" s="240"/>
      <c r="J385" s="240"/>
      <c r="K385" s="240"/>
      <c r="L385" s="240"/>
      <c r="M385" s="240"/>
      <c r="N385" s="240"/>
      <c r="O385" s="240"/>
      <c r="P385" s="240"/>
      <c r="Q385" s="240"/>
      <c r="R385" s="240"/>
      <c r="S385" s="240"/>
      <c r="T385" s="240"/>
      <c r="U385" s="240"/>
      <c r="V385" s="240"/>
      <c r="W385" s="240"/>
      <c r="X385" s="240"/>
      <c r="Y385" s="240"/>
      <c r="Z385" s="240"/>
      <c r="AA385" s="240"/>
      <c r="AB385" s="240"/>
      <c r="AC385" s="240"/>
      <c r="AD385" s="240"/>
      <c r="AE385" s="240"/>
      <c r="AF385" s="240"/>
      <c r="AG385" s="240"/>
      <c r="AH385" s="240"/>
      <c r="AI385" s="240"/>
      <c r="AJ385" s="240"/>
      <c r="AK385" s="13"/>
      <c r="AL385" s="13"/>
      <c r="AM385" s="13"/>
      <c r="AN385" s="13"/>
      <c r="AO385" s="13"/>
      <c r="AP385" s="13"/>
      <c r="AQ385" s="13"/>
      <c r="AR385" s="13"/>
      <c r="AS385" s="13"/>
      <c r="AT385" s="13"/>
      <c r="AU385" s="13"/>
      <c r="AV385" s="13"/>
      <c r="AW385" s="13"/>
      <c r="AX385" s="14"/>
      <c r="AY385" s="14"/>
      <c r="AZ385" s="14"/>
      <c r="BA385" s="14"/>
      <c r="BB385" s="14"/>
      <c r="BC385" s="14"/>
      <c r="BD385" s="14"/>
      <c r="BE385" s="14"/>
      <c r="BF385" s="14"/>
      <c r="BG385" s="14"/>
      <c r="BH385" s="14"/>
      <c r="BI385" s="14"/>
      <c r="BJ385" s="14"/>
    </row>
    <row r="386" spans="1:62" customFormat="1">
      <c r="A386" s="92"/>
      <c r="B386" s="15"/>
      <c r="C386" s="277"/>
      <c r="D386" s="13"/>
      <c r="E386" s="270"/>
      <c r="F386" s="259"/>
      <c r="G386" s="13"/>
      <c r="H386" s="260"/>
      <c r="I386" s="240"/>
      <c r="J386" s="240"/>
      <c r="K386" s="240"/>
      <c r="L386" s="240"/>
      <c r="M386" s="240"/>
      <c r="N386" s="240"/>
      <c r="O386" s="240"/>
      <c r="P386" s="240"/>
      <c r="Q386" s="240"/>
      <c r="R386" s="240"/>
      <c r="S386" s="240"/>
      <c r="T386" s="240"/>
      <c r="U386" s="240"/>
      <c r="V386" s="240"/>
      <c r="W386" s="240"/>
      <c r="X386" s="240"/>
      <c r="Y386" s="240"/>
      <c r="Z386" s="240"/>
      <c r="AA386" s="240"/>
      <c r="AB386" s="240"/>
      <c r="AC386" s="240"/>
      <c r="AD386" s="240"/>
      <c r="AE386" s="240"/>
      <c r="AF386" s="240"/>
      <c r="AG386" s="240"/>
      <c r="AH386" s="240"/>
      <c r="AI386" s="240"/>
      <c r="AJ386" s="240"/>
      <c r="AK386" s="13"/>
      <c r="AL386" s="13"/>
      <c r="AM386" s="13"/>
      <c r="AN386" s="13"/>
      <c r="AO386" s="13"/>
      <c r="AP386" s="13"/>
      <c r="AQ386" s="13"/>
      <c r="AR386" s="13"/>
      <c r="AS386" s="13"/>
      <c r="AT386" s="13"/>
      <c r="AU386" s="13"/>
      <c r="AV386" s="13"/>
      <c r="AW386" s="13"/>
      <c r="AX386" s="14"/>
      <c r="AY386" s="14"/>
      <c r="AZ386" s="14"/>
      <c r="BA386" s="14"/>
      <c r="BB386" s="14"/>
      <c r="BC386" s="14"/>
      <c r="BD386" s="14"/>
      <c r="BE386" s="14"/>
      <c r="BF386" s="14"/>
      <c r="BG386" s="14"/>
      <c r="BH386" s="14"/>
      <c r="BI386" s="14"/>
      <c r="BJ386" s="14"/>
    </row>
    <row r="387" spans="1:62" customFormat="1">
      <c r="A387" s="92"/>
      <c r="B387" s="15"/>
      <c r="C387" s="277"/>
      <c r="D387" s="13"/>
      <c r="E387" s="270"/>
      <c r="F387" s="259"/>
      <c r="G387" s="13"/>
      <c r="H387" s="260"/>
      <c r="I387" s="240"/>
      <c r="J387" s="240"/>
      <c r="K387" s="240"/>
      <c r="L387" s="240"/>
      <c r="M387" s="240"/>
      <c r="N387" s="240"/>
      <c r="O387" s="240"/>
      <c r="P387" s="240"/>
      <c r="Q387" s="240"/>
      <c r="R387" s="240"/>
      <c r="S387" s="240"/>
      <c r="T387" s="240"/>
      <c r="U387" s="240"/>
      <c r="V387" s="240"/>
      <c r="W387" s="240"/>
      <c r="X387" s="240"/>
      <c r="Y387" s="240"/>
      <c r="Z387" s="240"/>
      <c r="AA387" s="240"/>
      <c r="AB387" s="240"/>
      <c r="AC387" s="240"/>
      <c r="AD387" s="240"/>
      <c r="AE387" s="240"/>
      <c r="AF387" s="240"/>
      <c r="AG387" s="240"/>
      <c r="AH387" s="240"/>
      <c r="AI387" s="240"/>
      <c r="AJ387" s="240"/>
      <c r="AK387" s="13"/>
      <c r="AL387" s="13"/>
      <c r="AM387" s="13"/>
      <c r="AN387" s="13"/>
      <c r="AO387" s="13"/>
      <c r="AP387" s="13"/>
      <c r="AQ387" s="13"/>
      <c r="AR387" s="13"/>
      <c r="AS387" s="13"/>
      <c r="AT387" s="13"/>
      <c r="AU387" s="13"/>
      <c r="AV387" s="13"/>
      <c r="AW387" s="13"/>
      <c r="AX387" s="14"/>
      <c r="AY387" s="14"/>
      <c r="AZ387" s="14"/>
      <c r="BA387" s="14"/>
      <c r="BB387" s="14"/>
      <c r="BC387" s="14"/>
      <c r="BD387" s="14"/>
      <c r="BE387" s="14"/>
      <c r="BF387" s="14"/>
      <c r="BG387" s="14"/>
      <c r="BH387" s="14"/>
      <c r="BI387" s="14"/>
      <c r="BJ387" s="14"/>
    </row>
    <row r="388" spans="1:62" customFormat="1">
      <c r="A388" s="92"/>
      <c r="B388" s="15"/>
      <c r="C388" s="277"/>
      <c r="D388" s="13"/>
      <c r="E388" s="270"/>
      <c r="F388" s="259"/>
      <c r="G388" s="13"/>
      <c r="H388" s="260"/>
      <c r="I388" s="240"/>
      <c r="J388" s="240"/>
      <c r="K388" s="240"/>
      <c r="L388" s="240"/>
      <c r="M388" s="240"/>
      <c r="N388" s="240"/>
      <c r="O388" s="240"/>
      <c r="P388" s="240"/>
      <c r="Q388" s="240"/>
      <c r="R388" s="240"/>
      <c r="S388" s="240"/>
      <c r="T388" s="240"/>
      <c r="U388" s="240"/>
      <c r="V388" s="240"/>
      <c r="W388" s="240"/>
      <c r="X388" s="240"/>
      <c r="Y388" s="240"/>
      <c r="Z388" s="240"/>
      <c r="AA388" s="240"/>
      <c r="AB388" s="240"/>
      <c r="AC388" s="240"/>
      <c r="AD388" s="240"/>
      <c r="AE388" s="240"/>
      <c r="AF388" s="240"/>
      <c r="AG388" s="240"/>
      <c r="AH388" s="240"/>
      <c r="AI388" s="240"/>
      <c r="AJ388" s="240"/>
      <c r="AK388" s="13"/>
      <c r="AL388" s="13"/>
      <c r="AM388" s="13"/>
      <c r="AN388" s="13"/>
      <c r="AO388" s="13"/>
      <c r="AP388" s="13"/>
      <c r="AQ388" s="13"/>
      <c r="AR388" s="13"/>
      <c r="AS388" s="13"/>
      <c r="AT388" s="13"/>
      <c r="AU388" s="13"/>
      <c r="AV388" s="13"/>
      <c r="AW388" s="13"/>
      <c r="AX388" s="14"/>
      <c r="AY388" s="14"/>
      <c r="AZ388" s="14"/>
      <c r="BA388" s="14"/>
      <c r="BB388" s="14"/>
      <c r="BC388" s="14"/>
      <c r="BD388" s="14"/>
      <c r="BE388" s="14"/>
      <c r="BF388" s="14"/>
      <c r="BG388" s="14"/>
      <c r="BH388" s="14"/>
      <c r="BI388" s="14"/>
      <c r="BJ388" s="14"/>
    </row>
    <row r="389" spans="1:62" customFormat="1">
      <c r="A389" s="92"/>
      <c r="B389" s="15"/>
      <c r="C389" s="277"/>
      <c r="D389" s="13"/>
      <c r="E389" s="270"/>
      <c r="F389" s="259"/>
      <c r="G389" s="13"/>
      <c r="H389" s="260"/>
      <c r="I389" s="240"/>
      <c r="J389" s="240"/>
      <c r="K389" s="240"/>
      <c r="L389" s="240"/>
      <c r="M389" s="240"/>
      <c r="N389" s="240"/>
      <c r="O389" s="240"/>
      <c r="P389" s="240"/>
      <c r="Q389" s="240"/>
      <c r="R389" s="240"/>
      <c r="S389" s="240"/>
      <c r="T389" s="240"/>
      <c r="U389" s="240"/>
      <c r="V389" s="240"/>
      <c r="W389" s="240"/>
      <c r="X389" s="240"/>
      <c r="Y389" s="240"/>
      <c r="Z389" s="240"/>
      <c r="AA389" s="240"/>
      <c r="AB389" s="240"/>
      <c r="AC389" s="240"/>
      <c r="AD389" s="240"/>
      <c r="AE389" s="240"/>
      <c r="AF389" s="240"/>
      <c r="AG389" s="240"/>
      <c r="AH389" s="240"/>
      <c r="AI389" s="240"/>
      <c r="AJ389" s="240"/>
      <c r="AK389" s="13"/>
      <c r="AL389" s="13"/>
      <c r="AM389" s="13"/>
      <c r="AN389" s="13"/>
      <c r="AO389" s="13"/>
      <c r="AP389" s="13"/>
      <c r="AQ389" s="13"/>
      <c r="AR389" s="13"/>
      <c r="AS389" s="13"/>
      <c r="AT389" s="13"/>
      <c r="AU389" s="13"/>
      <c r="AV389" s="13"/>
      <c r="AW389" s="13"/>
      <c r="AX389" s="14"/>
      <c r="AY389" s="14"/>
      <c r="AZ389" s="14"/>
      <c r="BA389" s="14"/>
      <c r="BB389" s="14"/>
      <c r="BC389" s="14"/>
      <c r="BD389" s="14"/>
      <c r="BE389" s="14"/>
      <c r="BF389" s="14"/>
      <c r="BG389" s="14"/>
      <c r="BH389" s="14"/>
      <c r="BI389" s="14"/>
      <c r="BJ389" s="14"/>
    </row>
    <row r="390" spans="1:62" customFormat="1">
      <c r="A390" s="92"/>
      <c r="B390" s="15"/>
      <c r="C390" s="277"/>
      <c r="D390" s="13"/>
      <c r="E390" s="270"/>
      <c r="F390" s="259"/>
      <c r="G390" s="13"/>
      <c r="H390" s="260"/>
      <c r="I390" s="240"/>
      <c r="J390" s="240"/>
      <c r="K390" s="240"/>
      <c r="L390" s="240"/>
      <c r="M390" s="240"/>
      <c r="N390" s="240"/>
      <c r="O390" s="240"/>
      <c r="P390" s="240"/>
      <c r="Q390" s="240"/>
      <c r="R390" s="240"/>
      <c r="S390" s="240"/>
      <c r="T390" s="240"/>
      <c r="U390" s="240"/>
      <c r="V390" s="240"/>
      <c r="W390" s="240"/>
      <c r="X390" s="240"/>
      <c r="Y390" s="240"/>
      <c r="Z390" s="240"/>
      <c r="AA390" s="240"/>
      <c r="AB390" s="240"/>
      <c r="AC390" s="240"/>
      <c r="AD390" s="240"/>
      <c r="AE390" s="240"/>
      <c r="AF390" s="240"/>
      <c r="AG390" s="240"/>
      <c r="AH390" s="240"/>
      <c r="AI390" s="240"/>
      <c r="AJ390" s="240"/>
      <c r="AK390" s="13"/>
      <c r="AL390" s="13"/>
      <c r="AM390" s="13"/>
      <c r="AN390" s="13"/>
      <c r="AO390" s="13"/>
      <c r="AP390" s="13"/>
      <c r="AQ390" s="13"/>
      <c r="AR390" s="13"/>
      <c r="AS390" s="13"/>
      <c r="AT390" s="13"/>
      <c r="AU390" s="13"/>
      <c r="AV390" s="13"/>
      <c r="AW390" s="13"/>
      <c r="AX390" s="14"/>
      <c r="AY390" s="14"/>
      <c r="AZ390" s="14"/>
      <c r="BA390" s="14"/>
      <c r="BB390" s="14"/>
      <c r="BC390" s="14"/>
      <c r="BD390" s="14"/>
      <c r="BE390" s="14"/>
      <c r="BF390" s="14"/>
      <c r="BG390" s="14"/>
      <c r="BH390" s="14"/>
      <c r="BI390" s="14"/>
      <c r="BJ390" s="14"/>
    </row>
    <row r="391" spans="1:62" customFormat="1">
      <c r="A391" s="92"/>
      <c r="B391" s="15"/>
      <c r="C391" s="277"/>
      <c r="D391" s="13"/>
      <c r="E391" s="270"/>
      <c r="F391" s="259"/>
      <c r="G391" s="13"/>
      <c r="H391" s="260"/>
      <c r="I391" s="240"/>
      <c r="J391" s="240"/>
      <c r="K391" s="240"/>
      <c r="L391" s="240"/>
      <c r="M391" s="240"/>
      <c r="N391" s="240"/>
      <c r="O391" s="240"/>
      <c r="P391" s="240"/>
      <c r="Q391" s="240"/>
      <c r="R391" s="240"/>
      <c r="S391" s="240"/>
      <c r="T391" s="240"/>
      <c r="U391" s="240"/>
      <c r="V391" s="240"/>
      <c r="W391" s="240"/>
      <c r="X391" s="240"/>
      <c r="Y391" s="240"/>
      <c r="Z391" s="240"/>
      <c r="AA391" s="240"/>
      <c r="AB391" s="240"/>
      <c r="AC391" s="240"/>
      <c r="AD391" s="240"/>
      <c r="AE391" s="240"/>
      <c r="AF391" s="240"/>
      <c r="AG391" s="240"/>
      <c r="AH391" s="240"/>
      <c r="AI391" s="240"/>
      <c r="AJ391" s="240"/>
      <c r="AK391" s="13"/>
      <c r="AL391" s="13"/>
      <c r="AM391" s="13"/>
      <c r="AN391" s="13"/>
      <c r="AO391" s="13"/>
      <c r="AP391" s="13"/>
      <c r="AQ391" s="13"/>
      <c r="AR391" s="13"/>
      <c r="AS391" s="13"/>
      <c r="AT391" s="13"/>
      <c r="AU391" s="13"/>
      <c r="AV391" s="13"/>
      <c r="AW391" s="13"/>
      <c r="AX391" s="14"/>
      <c r="AY391" s="14"/>
      <c r="AZ391" s="14"/>
      <c r="BA391" s="14"/>
      <c r="BB391" s="14"/>
      <c r="BC391" s="14"/>
      <c r="BD391" s="14"/>
      <c r="BE391" s="14"/>
      <c r="BF391" s="14"/>
      <c r="BG391" s="14"/>
      <c r="BH391" s="14"/>
      <c r="BI391" s="14"/>
      <c r="BJ391" s="14"/>
    </row>
    <row r="392" spans="1:62" customFormat="1">
      <c r="A392" s="92"/>
      <c r="B392" s="15"/>
      <c r="C392" s="277"/>
      <c r="D392" s="13"/>
      <c r="E392" s="270"/>
      <c r="F392" s="259"/>
      <c r="G392" s="13"/>
      <c r="H392" s="260"/>
      <c r="I392" s="240"/>
      <c r="J392" s="240"/>
      <c r="K392" s="240"/>
      <c r="L392" s="240"/>
      <c r="M392" s="240"/>
      <c r="N392" s="240"/>
      <c r="O392" s="240"/>
      <c r="P392" s="240"/>
      <c r="Q392" s="240"/>
      <c r="R392" s="240"/>
      <c r="S392" s="240"/>
      <c r="T392" s="240"/>
      <c r="U392" s="240"/>
      <c r="V392" s="240"/>
      <c r="W392" s="240"/>
      <c r="X392" s="240"/>
      <c r="Y392" s="240"/>
      <c r="Z392" s="240"/>
      <c r="AA392" s="240"/>
      <c r="AB392" s="240"/>
      <c r="AC392" s="240"/>
      <c r="AD392" s="240"/>
      <c r="AE392" s="240"/>
      <c r="AF392" s="240"/>
      <c r="AG392" s="240"/>
      <c r="AH392" s="240"/>
      <c r="AI392" s="240"/>
      <c r="AJ392" s="240"/>
      <c r="AK392" s="13"/>
      <c r="AL392" s="13"/>
      <c r="AM392" s="13"/>
      <c r="AN392" s="13"/>
      <c r="AO392" s="13"/>
      <c r="AP392" s="13"/>
      <c r="AQ392" s="13"/>
      <c r="AR392" s="13"/>
      <c r="AS392" s="13"/>
      <c r="AT392" s="13"/>
      <c r="AU392" s="13"/>
      <c r="AV392" s="13"/>
      <c r="AW392" s="13"/>
      <c r="AX392" s="14"/>
      <c r="AY392" s="14"/>
      <c r="AZ392" s="14"/>
      <c r="BA392" s="14"/>
      <c r="BB392" s="14"/>
      <c r="BC392" s="14"/>
      <c r="BD392" s="14"/>
      <c r="BE392" s="14"/>
      <c r="BF392" s="14"/>
      <c r="BG392" s="14"/>
      <c r="BH392" s="14"/>
      <c r="BI392" s="14"/>
      <c r="BJ392" s="14"/>
    </row>
    <row r="393" spans="1:62" customFormat="1">
      <c r="A393" s="92"/>
      <c r="B393" s="15"/>
      <c r="C393" s="277"/>
      <c r="D393" s="13"/>
      <c r="E393" s="270"/>
      <c r="F393" s="259"/>
      <c r="G393" s="13"/>
      <c r="H393" s="260"/>
      <c r="I393" s="240"/>
      <c r="J393" s="240"/>
      <c r="K393" s="240"/>
      <c r="L393" s="240"/>
      <c r="M393" s="240"/>
      <c r="N393" s="240"/>
      <c r="O393" s="240"/>
      <c r="P393" s="240"/>
      <c r="Q393" s="240"/>
      <c r="R393" s="240"/>
      <c r="S393" s="240"/>
      <c r="T393" s="240"/>
      <c r="U393" s="240"/>
      <c r="V393" s="240"/>
      <c r="W393" s="240"/>
      <c r="X393" s="240"/>
      <c r="Y393" s="240"/>
      <c r="Z393" s="240"/>
      <c r="AA393" s="240"/>
      <c r="AB393" s="240"/>
      <c r="AC393" s="240"/>
      <c r="AD393" s="240"/>
      <c r="AE393" s="240"/>
      <c r="AF393" s="240"/>
      <c r="AG393" s="240"/>
      <c r="AH393" s="240"/>
      <c r="AI393" s="240"/>
      <c r="AJ393" s="240"/>
      <c r="AK393" s="13"/>
      <c r="AL393" s="13"/>
      <c r="AM393" s="13"/>
      <c r="AN393" s="13"/>
      <c r="AO393" s="13"/>
      <c r="AP393" s="13"/>
      <c r="AQ393" s="13"/>
      <c r="AR393" s="13"/>
      <c r="AS393" s="13"/>
      <c r="AT393" s="13"/>
      <c r="AU393" s="13"/>
      <c r="AV393" s="13"/>
      <c r="AW393" s="13"/>
      <c r="AX393" s="14"/>
      <c r="AY393" s="14"/>
      <c r="AZ393" s="14"/>
      <c r="BA393" s="14"/>
      <c r="BB393" s="14"/>
      <c r="BC393" s="14"/>
      <c r="BD393" s="14"/>
      <c r="BE393" s="14"/>
      <c r="BF393" s="14"/>
      <c r="BG393" s="14"/>
      <c r="BH393" s="14"/>
      <c r="BI393" s="14"/>
      <c r="BJ393" s="14"/>
    </row>
    <row r="394" spans="1:62" customFormat="1">
      <c r="A394" s="92"/>
      <c r="B394" s="15"/>
      <c r="C394" s="277"/>
      <c r="D394" s="13"/>
      <c r="E394" s="270"/>
      <c r="F394" s="259"/>
      <c r="G394" s="13"/>
      <c r="H394" s="260"/>
      <c r="I394" s="240"/>
      <c r="J394" s="240"/>
      <c r="K394" s="240"/>
      <c r="L394" s="240"/>
      <c r="M394" s="240"/>
      <c r="N394" s="240"/>
      <c r="O394" s="240"/>
      <c r="P394" s="240"/>
      <c r="Q394" s="240"/>
      <c r="R394" s="240"/>
      <c r="S394" s="240"/>
      <c r="T394" s="240"/>
      <c r="U394" s="240"/>
      <c r="V394" s="240"/>
      <c r="W394" s="240"/>
      <c r="X394" s="240"/>
      <c r="Y394" s="240"/>
      <c r="Z394" s="240"/>
      <c r="AA394" s="240"/>
      <c r="AB394" s="240"/>
      <c r="AC394" s="240"/>
      <c r="AD394" s="240"/>
      <c r="AE394" s="240"/>
      <c r="AF394" s="240"/>
      <c r="AG394" s="240"/>
      <c r="AH394" s="240"/>
      <c r="AI394" s="240"/>
      <c r="AJ394" s="240"/>
      <c r="AK394" s="13"/>
      <c r="AL394" s="13"/>
      <c r="AM394" s="13"/>
      <c r="AN394" s="13"/>
      <c r="AO394" s="13"/>
      <c r="AP394" s="13"/>
      <c r="AQ394" s="13"/>
      <c r="AR394" s="13"/>
      <c r="AS394" s="13"/>
      <c r="AT394" s="13"/>
      <c r="AU394" s="13"/>
      <c r="AV394" s="13"/>
      <c r="AW394" s="13"/>
      <c r="AX394" s="14"/>
      <c r="AY394" s="14"/>
      <c r="AZ394" s="14"/>
      <c r="BA394" s="14"/>
      <c r="BB394" s="14"/>
      <c r="BC394" s="14"/>
      <c r="BD394" s="14"/>
      <c r="BE394" s="14"/>
      <c r="BF394" s="14"/>
      <c r="BG394" s="14"/>
      <c r="BH394" s="14"/>
      <c r="BI394" s="14"/>
      <c r="BJ394" s="14"/>
    </row>
    <row r="395" spans="1:62" customFormat="1">
      <c r="A395" s="92"/>
      <c r="B395" s="15"/>
      <c r="C395" s="277"/>
      <c r="D395" s="13"/>
      <c r="E395" s="270"/>
      <c r="F395" s="259"/>
      <c r="G395" s="13"/>
      <c r="H395" s="260"/>
      <c r="I395" s="240"/>
      <c r="J395" s="240"/>
      <c r="K395" s="240"/>
      <c r="L395" s="240"/>
      <c r="M395" s="240"/>
      <c r="N395" s="240"/>
      <c r="O395" s="240"/>
      <c r="P395" s="240"/>
      <c r="Q395" s="240"/>
      <c r="R395" s="240"/>
      <c r="S395" s="240"/>
      <c r="T395" s="240"/>
      <c r="U395" s="240"/>
      <c r="V395" s="240"/>
      <c r="W395" s="240"/>
      <c r="X395" s="240"/>
      <c r="Y395" s="240"/>
      <c r="Z395" s="240"/>
      <c r="AA395" s="240"/>
      <c r="AB395" s="240"/>
      <c r="AC395" s="240"/>
      <c r="AD395" s="240"/>
      <c r="AE395" s="240"/>
      <c r="AF395" s="240"/>
      <c r="AG395" s="240"/>
      <c r="AH395" s="240"/>
      <c r="AI395" s="240"/>
      <c r="AJ395" s="240"/>
      <c r="AK395" s="13"/>
      <c r="AL395" s="13"/>
      <c r="AM395" s="13"/>
      <c r="AN395" s="13"/>
      <c r="AO395" s="13"/>
      <c r="AP395" s="13"/>
      <c r="AQ395" s="13"/>
      <c r="AR395" s="13"/>
      <c r="AS395" s="13"/>
      <c r="AT395" s="13"/>
      <c r="AU395" s="13"/>
      <c r="AV395" s="13"/>
      <c r="AW395" s="13"/>
      <c r="AX395" s="14"/>
      <c r="AY395" s="14"/>
      <c r="AZ395" s="14"/>
      <c r="BA395" s="14"/>
      <c r="BB395" s="14"/>
      <c r="BC395" s="14"/>
      <c r="BD395" s="14"/>
      <c r="BE395" s="14"/>
      <c r="BF395" s="14"/>
      <c r="BG395" s="14"/>
      <c r="BH395" s="14"/>
      <c r="BI395" s="14"/>
      <c r="BJ395" s="14"/>
    </row>
    <row r="396" spans="1:62" customFormat="1">
      <c r="A396" s="92"/>
      <c r="B396" s="15"/>
      <c r="C396" s="277"/>
      <c r="D396" s="13"/>
      <c r="E396" s="270"/>
      <c r="F396" s="259"/>
      <c r="G396" s="13"/>
      <c r="H396" s="260"/>
      <c r="I396" s="240"/>
      <c r="J396" s="240"/>
      <c r="K396" s="240"/>
      <c r="L396" s="240"/>
      <c r="M396" s="240"/>
      <c r="N396" s="240"/>
      <c r="O396" s="240"/>
      <c r="P396" s="240"/>
      <c r="Q396" s="240"/>
      <c r="R396" s="240"/>
      <c r="S396" s="240"/>
      <c r="T396" s="240"/>
      <c r="U396" s="240"/>
      <c r="V396" s="240"/>
      <c r="W396" s="240"/>
      <c r="X396" s="240"/>
      <c r="Y396" s="240"/>
      <c r="Z396" s="240"/>
      <c r="AA396" s="240"/>
      <c r="AB396" s="240"/>
      <c r="AC396" s="240"/>
      <c r="AD396" s="240"/>
      <c r="AE396" s="240"/>
      <c r="AF396" s="240"/>
      <c r="AG396" s="240"/>
      <c r="AH396" s="240"/>
      <c r="AI396" s="240"/>
      <c r="AJ396" s="240"/>
      <c r="AK396" s="13"/>
      <c r="AL396" s="13"/>
      <c r="AM396" s="13"/>
      <c r="AN396" s="13"/>
      <c r="AO396" s="13"/>
      <c r="AP396" s="13"/>
      <c r="AQ396" s="13"/>
      <c r="AR396" s="13"/>
      <c r="AS396" s="13"/>
      <c r="AT396" s="13"/>
      <c r="AU396" s="13"/>
      <c r="AV396" s="13"/>
      <c r="AW396" s="13"/>
      <c r="AX396" s="14"/>
      <c r="AY396" s="14"/>
      <c r="AZ396" s="14"/>
      <c r="BA396" s="14"/>
      <c r="BB396" s="14"/>
      <c r="BC396" s="14"/>
      <c r="BD396" s="14"/>
      <c r="BE396" s="14"/>
      <c r="BF396" s="14"/>
      <c r="BG396" s="14"/>
      <c r="BH396" s="14"/>
      <c r="BI396" s="14"/>
      <c r="BJ396" s="14"/>
    </row>
    <row r="397" spans="1:62">
      <c r="A397" s="228"/>
      <c r="B397" s="229"/>
      <c r="C397" s="277"/>
      <c r="D397" s="218"/>
      <c r="E397" s="270"/>
      <c r="F397" s="230"/>
      <c r="G397" s="218"/>
    </row>
    <row r="398" spans="1:62">
      <c r="A398" s="228"/>
      <c r="B398" s="229"/>
      <c r="C398" s="277"/>
      <c r="D398" s="218"/>
      <c r="E398" s="270"/>
      <c r="F398" s="230"/>
      <c r="G398" s="218"/>
    </row>
    <row r="399" spans="1:62">
      <c r="A399" s="228"/>
      <c r="B399" s="229"/>
      <c r="C399" s="277"/>
      <c r="D399" s="218"/>
      <c r="E399" s="270"/>
      <c r="F399" s="230"/>
      <c r="G399" s="218"/>
    </row>
    <row r="400" spans="1:62">
      <c r="A400" s="228"/>
      <c r="B400" s="229"/>
      <c r="C400" s="277"/>
      <c r="D400" s="218"/>
      <c r="E400" s="270"/>
      <c r="F400" s="230"/>
      <c r="G400" s="218"/>
    </row>
    <row r="401" spans="1:7">
      <c r="A401" s="228"/>
      <c r="B401" s="229"/>
      <c r="C401" s="277"/>
      <c r="D401" s="218"/>
      <c r="E401" s="270"/>
      <c r="F401" s="230"/>
      <c r="G401" s="218"/>
    </row>
    <row r="402" spans="1:7">
      <c r="A402" s="228"/>
      <c r="B402" s="229"/>
      <c r="C402" s="277"/>
      <c r="D402" s="218"/>
      <c r="E402" s="270"/>
      <c r="F402" s="230"/>
      <c r="G402" s="218"/>
    </row>
    <row r="403" spans="1:7">
      <c r="A403" s="228"/>
      <c r="B403" s="229"/>
      <c r="C403" s="277"/>
      <c r="D403" s="218"/>
      <c r="E403" s="270"/>
      <c r="F403" s="230"/>
      <c r="G403" s="218"/>
    </row>
    <row r="404" spans="1:7">
      <c r="A404" s="228"/>
      <c r="B404" s="229"/>
      <c r="C404" s="277"/>
      <c r="D404" s="218"/>
      <c r="E404" s="270"/>
      <c r="F404" s="230"/>
      <c r="G404" s="218"/>
    </row>
    <row r="405" spans="1:7">
      <c r="A405" s="228"/>
      <c r="B405" s="229"/>
      <c r="C405" s="277"/>
      <c r="D405" s="218"/>
      <c r="E405" s="270"/>
      <c r="F405" s="230"/>
      <c r="G405" s="218"/>
    </row>
    <row r="406" spans="1:7">
      <c r="A406" s="228"/>
      <c r="B406" s="229"/>
      <c r="C406" s="277"/>
      <c r="D406" s="218"/>
      <c r="E406" s="270"/>
      <c r="F406" s="230"/>
      <c r="G406" s="218"/>
    </row>
    <row r="407" spans="1:7">
      <c r="A407" s="228"/>
      <c r="B407" s="229"/>
      <c r="C407" s="277"/>
      <c r="D407" s="218"/>
      <c r="E407" s="270"/>
      <c r="F407" s="230"/>
      <c r="G407" s="218"/>
    </row>
    <row r="408" spans="1:7">
      <c r="A408" s="228"/>
      <c r="B408" s="229"/>
      <c r="C408" s="277"/>
      <c r="D408" s="218"/>
      <c r="E408" s="270"/>
      <c r="F408" s="230"/>
      <c r="G408" s="218"/>
    </row>
    <row r="409" spans="1:7">
      <c r="A409" s="228"/>
      <c r="B409" s="229"/>
      <c r="C409" s="277"/>
      <c r="D409" s="218"/>
      <c r="E409" s="270"/>
      <c r="F409" s="230"/>
      <c r="G409" s="218"/>
    </row>
    <row r="410" spans="1:7">
      <c r="A410" s="228"/>
      <c r="B410" s="229"/>
      <c r="C410" s="277"/>
      <c r="D410" s="218"/>
      <c r="E410" s="270"/>
      <c r="F410" s="230"/>
      <c r="G410" s="218"/>
    </row>
    <row r="411" spans="1:7">
      <c r="A411" s="228"/>
      <c r="B411" s="229"/>
      <c r="C411" s="277"/>
      <c r="D411" s="218"/>
      <c r="E411" s="270"/>
      <c r="F411" s="230"/>
      <c r="G411" s="218"/>
    </row>
    <row r="412" spans="1:7">
      <c r="A412" s="228"/>
      <c r="B412" s="229"/>
      <c r="C412" s="277"/>
      <c r="D412" s="218"/>
      <c r="E412" s="270"/>
      <c r="F412" s="230"/>
      <c r="G412" s="218"/>
    </row>
    <row r="413" spans="1:7">
      <c r="A413" s="228"/>
      <c r="B413" s="229"/>
      <c r="C413" s="277"/>
      <c r="D413" s="218"/>
      <c r="E413" s="270"/>
      <c r="F413" s="230"/>
      <c r="G413" s="218"/>
    </row>
    <row r="414" spans="1:7">
      <c r="A414" s="228"/>
      <c r="B414" s="229"/>
      <c r="C414" s="277"/>
      <c r="D414" s="218"/>
      <c r="E414" s="270"/>
      <c r="F414" s="230"/>
      <c r="G414" s="218"/>
    </row>
  </sheetData>
  <sheetProtection algorithmName="SHA-512" hashValue="nVuT24SauN36ftEZE/45sjZdBLx3hbEU9paYHiUeQqukMY2NT8y4JFvHVvY0WEUVUW76bOqgKanH7LFqVIT8bA==" saltValue="sSaTQt9ew/hE9XdZVY+zjA==" spinCount="100000" sheet="1" formatRows="0"/>
  <mergeCells count="18">
    <mergeCell ref="B114:D114"/>
    <mergeCell ref="B1:F1"/>
    <mergeCell ref="B158:D158"/>
    <mergeCell ref="B160:D160"/>
    <mergeCell ref="B123:D123"/>
    <mergeCell ref="B125:D125"/>
    <mergeCell ref="B127:D127"/>
    <mergeCell ref="B131:D131"/>
    <mergeCell ref="B2:D4"/>
    <mergeCell ref="B162:D162"/>
    <mergeCell ref="B133:D133"/>
    <mergeCell ref="B135:D135"/>
    <mergeCell ref="B146:D146"/>
    <mergeCell ref="B150:D150"/>
    <mergeCell ref="B152:D152"/>
    <mergeCell ref="B154:D154"/>
    <mergeCell ref="B142:D142"/>
    <mergeCell ref="B156:D156"/>
  </mergeCells>
  <conditionalFormatting sqref="D35:D37 D42:D57 D69:D71 D77:D87 C331:D345 D18:D32 D59:D66">
    <cfRule type="expression" dxfId="80" priority="14">
      <formula>$D$17=""</formula>
    </cfRule>
  </conditionalFormatting>
  <conditionalFormatting sqref="D14">
    <cfRule type="expression" dxfId="79" priority="12">
      <formula>$D$17=""</formula>
    </cfRule>
  </conditionalFormatting>
  <conditionalFormatting sqref="D73">
    <cfRule type="expression" dxfId="78" priority="11">
      <formula>$D$17=""</formula>
    </cfRule>
  </conditionalFormatting>
  <conditionalFormatting sqref="D58">
    <cfRule type="expression" dxfId="77" priority="5">
      <formula>$D$17=""</formula>
    </cfRule>
  </conditionalFormatting>
  <conditionalFormatting sqref="D30">
    <cfRule type="expression" dxfId="76" priority="4">
      <formula>$D$28="no"</formula>
    </cfRule>
  </conditionalFormatting>
  <conditionalFormatting sqref="D32">
    <cfRule type="expression" dxfId="75" priority="3">
      <formula>$D$28="no"</formula>
    </cfRule>
  </conditionalFormatting>
  <conditionalFormatting sqref="F30">
    <cfRule type="expression" dxfId="74" priority="2">
      <formula>$F$28="no"</formula>
    </cfRule>
  </conditionalFormatting>
  <conditionalFormatting sqref="F32">
    <cfRule type="expression" dxfId="73" priority="1">
      <formula>$F$28="no"</formula>
    </cfRule>
  </conditionalFormatting>
  <dataValidations count="16">
    <dataValidation type="list" allowBlank="1" showInputMessage="1" showErrorMessage="1" errorTitle="PAS UW ANTWOORD AAN" error="KLIK OP ANNULEREN EN SELECTEER UW ANTWOORD" sqref="F77 D165 F165 D77" xr:uid="{00000000-0002-0000-0200-000000000000}">
      <formula1>Ja_Nee</formula1>
    </dataValidation>
    <dataValidation type="list" allowBlank="1" showInputMessage="1" showErrorMessage="1" errorTitle="PAS UW ANTWOORD AAN" error="KLIK OP ANNULEREN EN SELECTEER UW ANTWOORD" sqref="D24" xr:uid="{00000000-0002-0000-0200-000001000000}">
      <formula1>Uitkering</formula1>
    </dataValidation>
    <dataValidation type="list" allowBlank="1" showInputMessage="1" showErrorMessage="1" errorTitle="PAS UW ANTWOORD AAN" error="KLIK OP ANNULEREN EN SELECTEER UW ANTWOORD" sqref="D104 D94 D96 D98 D100 D102 D92 D106" xr:uid="{00000000-0002-0000-0200-000002000000}">
      <formula1>Inbreng</formula1>
    </dataValidation>
    <dataValidation type="list" allowBlank="1" showInputMessage="1" showErrorMessage="1" errorTitle="PAS UW ANTWOORD AAN" error="KLIK OP ANNULEREN EN SELECTEER UW ANTWOORD" sqref="F129 F137 F144 F148" xr:uid="{00000000-0002-0000-0200-000003000000}">
      <formula1>Graceperiod</formula1>
    </dataValidation>
    <dataValidation type="list" allowBlank="1" showInputMessage="1" showErrorMessage="1" errorTitle="PAS UW ANTWOORD AAN" error="KLIK OP ANNULEREN EN SELECTEER UW ANTWOORD" sqref="F169 F251 D251 D169" xr:uid="{00000000-0002-0000-0200-000004000000}">
      <formula1>BTW</formula1>
    </dataValidation>
    <dataValidation type="list" allowBlank="1" showInputMessage="1" showErrorMessage="1" errorTitle="PAS UW ANTWOORD AAN" error="KLIK OP ANNULEREN EN SELECTEER UW ANTWOORD" sqref="F171 F253 D253 D171" xr:uid="{00000000-0002-0000-0200-000005000000}">
      <formula1>Betalen</formula1>
    </dataValidation>
    <dataValidation type="list" allowBlank="1" showInputMessage="1" showErrorMessage="1" errorTitle="PAS UW ANTWOORD AAN" error="KLIK OP ANNULEREN  EN SELECTEER UW ANTWOORD" sqref="D28" xr:uid="{00000000-0002-0000-0200-000006000000}">
      <formula1>Ja_Nee</formula1>
    </dataValidation>
    <dataValidation type="decimal" allowBlank="1" showInputMessage="1" showErrorMessage="1" errorTitle="PAS UW ANTWOORD AAN" error="VOER EEN GETAL TUSSEN 0 EN 100 IN" sqref="F167 D167" xr:uid="{00000000-0002-0000-0200-000007000000}">
      <formula1>0</formula1>
      <formula2>1</formula2>
    </dataValidation>
    <dataValidation type="list" allowBlank="1" showInputMessage="1" showErrorMessage="1" errorTitle="PAS UW ANTWOORD AAN" error="KLIK OP ANNULEREN  EN SELECTEER UW ANTWOORD" sqref="D7" xr:uid="{00000000-0002-0000-0200-000008000000}">
      <formula1>Rechtsvorm</formula1>
    </dataValidation>
    <dataValidation type="decimal" allowBlank="1" showInputMessage="1" showErrorMessage="1" sqref="D14" xr:uid="{00000000-0002-0000-0200-000009000000}">
      <formula1>0</formula1>
      <formula2>1</formula2>
    </dataValidation>
    <dataValidation type="whole" operator="greaterThanOrEqual" allowBlank="1" showErrorMessage="1" errorTitle="Voer een bedrag in!" error="Voer een afgerond bedrag in." sqref="D18 F18 D20 D22 F20 F22 F30 F26 F32 D26" xr:uid="{00000000-0002-0000-0200-00000A000000}">
      <formula1>0</formula1>
    </dataValidation>
    <dataValidation type="whole" operator="greaterThanOrEqual" allowBlank="1" showInputMessage="1" showErrorMessage="1" errorTitle="Voer een bedrag in!" error="Voer een afgerond bedrag in." sqref="D32 D30" xr:uid="{00000000-0002-0000-0200-00000B000000}">
      <formula1>0</formula1>
    </dataValidation>
    <dataValidation type="whole" operator="greaterThanOrEqual" allowBlank="1" showInputMessage="1" showErrorMessage="1" errorTitle="Voer een bedrag in!" error="Veor een afgerond bedrag in." sqref="D81 D73 F73 D79 F79 F81 F83 F85 F87 D87 D85 D83 D42:D66 F42:F66" xr:uid="{00000000-0002-0000-0200-00000C000000}">
      <formula1>0</formula1>
    </dataValidation>
    <dataValidation type="list" allowBlank="1" showInputMessage="1" showErrorMessage="1" errorTitle="Incorrect input" sqref="D9" xr:uid="{00000000-0002-0000-0200-00000D000000}">
      <formula1>Ondernemers</formula1>
    </dataValidation>
    <dataValidation type="list" operator="greaterThanOrEqual" allowBlank="1" showErrorMessage="1" errorTitle="Voer een bedrag in!" error="Voer een afgerond bedrag in." sqref="F28" xr:uid="{003CDDFD-E110-4EE0-BAAB-145B51B3208B}">
      <formula1>Ja_Nee</formula1>
    </dataValidation>
    <dataValidation type="list" operator="greaterThanOrEqual" allowBlank="1" showErrorMessage="1" errorTitle="Voer een bedrag in!" error="Voer een afgerond bedrag in." sqref="F24" xr:uid="{0DE458D5-E951-46C2-9CA1-4C37E5B4FA8E}">
      <formula1>Uitkering</formula1>
    </dataValidation>
  </dataValidations>
  <hyperlinks>
    <hyperlink ref="C329" location="Begrippenbelastingsdienst!A1" display="wat is dit?" xr:uid="{00000000-0004-0000-0200-000000000000}"/>
  </hyperlinks>
  <pageMargins left="0.25" right="0.25" top="0.75" bottom="0.75" header="0.3" footer="0.3"/>
  <pageSetup paperSize="9" scale="74" firstPageNumber="0" fitToHeight="0" orientation="portrait" r:id="rId1"/>
  <headerFooter alignWithMargins="0"/>
  <rowBreaks count="3" manualBreakCount="3">
    <brk id="66" max="6" man="1"/>
    <brk id="138" max="16383" man="1"/>
    <brk id="328" max="6" man="1"/>
  </rowBreaks>
  <drawing r:id="rId2"/>
  <extLst>
    <ext xmlns:x14="http://schemas.microsoft.com/office/spreadsheetml/2009/9/main" uri="{78C0D931-6437-407d-A8EE-F0AAD7539E65}">
      <x14:conditionalFormattings>
        <x14:conditionalFormatting xmlns:xm="http://schemas.microsoft.com/office/excel/2006/main">
          <x14:cfRule type="expression" priority="9" id="{00000000-000E-0000-0200-000002000000}">
            <xm:f>$D$7=dropdowns!$B$174</xm:f>
            <x14:dxf>
              <font>
                <color theme="0"/>
              </font>
              <fill>
                <patternFill>
                  <fgColor theme="0"/>
                </patternFill>
              </fill>
              <border>
                <left/>
                <right/>
                <top/>
                <bottom/>
                <vertical/>
                <horizontal/>
              </border>
            </x14:dxf>
          </x14:cfRule>
          <xm:sqref>B13:F14</xm:sqref>
        </x14:conditionalFormatting>
        <x14:conditionalFormatting xmlns:xm="http://schemas.microsoft.com/office/excel/2006/main">
          <x14:cfRule type="expression" priority="10" id="{00000000-000E-0000-0200-000003000000}">
            <xm:f>$D$7=dropdowns!$B$174</xm:f>
            <x14:dxf>
              <font>
                <color theme="0"/>
              </font>
              <fill>
                <patternFill>
                  <fgColor theme="0"/>
                </patternFill>
              </fill>
              <border>
                <left/>
                <right/>
                <top/>
                <bottom/>
                <vertical/>
                <horizontal/>
              </border>
            </x14:dxf>
          </x14:cfRule>
          <xm:sqref>B9:D9</xm:sqref>
        </x14:conditionalFormatting>
        <x14:conditionalFormatting xmlns:xm="http://schemas.microsoft.com/office/excel/2006/main">
          <x14:cfRule type="expression" priority="113" id="{00000000-000E-0000-0200-00000A000000}">
            <xm:f>OR($D$7&lt;&gt;dropdowns!#REF!,$D$7&lt;&gt;dropdowns!$B$176,$D$7&lt;&gt;dropdowns!#REF!)</xm:f>
            <x14:dxf>
              <font>
                <color theme="0"/>
              </font>
              <fill>
                <patternFill>
                  <fgColor theme="0"/>
                </patternFill>
              </fill>
              <border>
                <left/>
                <right/>
                <top/>
                <bottom/>
                <vertical/>
                <horizontal/>
              </border>
            </x14:dxf>
          </x14:cfRule>
          <xm:sqref>A329:G330 A332:G332 A331:D331 F331:G331 A334:G334 F333:G333 A336:G336 F335:G335 A338:G338 F337:G337 A340:G340 F339:G339 A342:G342 F341:G341 A344:G344 F343:G343 A346:G346 F345:G345 A333:D333 A335:D335 A337:D337 A339:D339 A341:D341 A343:D343 A345:D345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errorTitle="PAS UW ANTWOORD AAN" error="KLIK OP ANNULEREN EN SELECTEER UW ANTWOORD" xr:uid="{7D6FC048-1B4C-4E77-9415-BF605D6C7227}">
          <x14:formula1>
            <xm:f>IF($D$7=dropdowns!$B$30,dropdowns!$G$7,Meewerkaftrek)</xm:f>
          </x14:formula1>
          <xm:sqref>F335 D335</xm:sqref>
        </x14:dataValidation>
        <x14:dataValidation type="list" allowBlank="1" showInputMessage="1" showErrorMessage="1" errorTitle="PAS UW ANTWOORD AAN" error="KLIK OP ANNULEREN EN SELECTEER UW ANTWOORD" xr:uid="{F71B2511-FBAD-4650-B4C2-AF39C6E7F9CC}">
          <x14:formula1>
            <xm:f>IF($D$7=dropdowns!$B$30,dropdowns!$G$7,Ja_Nee)</xm:f>
          </x14:formula1>
          <xm:sqref>D331 F345 F343 F341 F339 F337 F333 F331 D345 D343 D341 D339 D337 D333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tabColor rgb="FFE2001A"/>
    <pageSetUpPr fitToPage="1"/>
  </sheetPr>
  <dimension ref="A1:S57"/>
  <sheetViews>
    <sheetView zoomScaleNormal="100" workbookViewId="0">
      <selection activeCell="C21" sqref="C21"/>
    </sheetView>
  </sheetViews>
  <sheetFormatPr defaultColWidth="9.140625" defaultRowHeight="14.25"/>
  <cols>
    <col min="1" max="1" width="3.5703125" style="105" customWidth="1"/>
    <col min="2" max="2" width="39.85546875" style="105" customWidth="1"/>
    <col min="3" max="3" width="15.7109375" style="105" customWidth="1"/>
    <col min="4" max="4" width="20.85546875" style="105" customWidth="1"/>
    <col min="5" max="5" width="15.7109375" style="105" customWidth="1"/>
    <col min="6" max="6" width="14.85546875" style="105" customWidth="1"/>
    <col min="7" max="7" width="4.85546875" style="105" customWidth="1"/>
    <col min="8" max="8" width="41.7109375" style="105" customWidth="1"/>
    <col min="9" max="9" width="15.85546875" style="105" customWidth="1"/>
    <col min="10" max="10" width="18.140625" style="105" customWidth="1"/>
    <col min="11" max="11" width="25.42578125" style="105" customWidth="1"/>
    <col min="12" max="16384" width="9.140625" style="105"/>
  </cols>
  <sheetData>
    <row r="1" spans="1:19" ht="61.5" customHeight="1">
      <c r="A1" s="342"/>
      <c r="B1" s="420" t="str">
        <f>Vertaling!B166</f>
      </c>
      <c r="C1" s="420"/>
      <c r="D1" s="420"/>
      <c r="E1" s="420"/>
      <c r="F1" s="420"/>
      <c r="G1" s="420"/>
      <c r="H1" s="420"/>
      <c r="I1" s="343"/>
    </row>
    <row r="2" spans="1:19" ht="15">
      <c r="A2" s="107"/>
      <c r="B2" s="115"/>
      <c r="C2" s="115"/>
      <c r="D2" s="115"/>
      <c r="E2" s="115"/>
      <c r="F2" s="115"/>
      <c r="G2" s="115"/>
      <c r="H2" s="115"/>
      <c r="I2" s="115"/>
      <c r="K2" s="344" t="s">
        <v>25</v>
      </c>
      <c r="L2" s="115"/>
      <c r="S2" s="106"/>
    </row>
    <row r="3" spans="1:19" ht="14.25" customHeight="1">
      <c r="B3" s="325" t="str">
        <f>Vertaling!B167</f>
      </c>
      <c r="C3" s="326" t="str">
        <f>Vertaling!B180</f>
      </c>
      <c r="D3" s="327" t="str">
        <f>Vertaling!B181</f>
      </c>
      <c r="E3" s="328" t="str">
        <f>Vertaling!B182</f>
      </c>
      <c r="F3" s="115"/>
      <c r="G3" s="115"/>
      <c r="H3" s="325" t="str">
        <f>Vertaling!B183</f>
      </c>
      <c r="I3" s="329"/>
      <c r="J3" s="115"/>
      <c r="K3" s="115"/>
      <c r="L3" s="115"/>
    </row>
    <row r="4" spans="1:19" ht="14.25" customHeight="1">
      <c r="B4" s="199" t="str">
        <f>Vertaling!B168</f>
      </c>
      <c r="C4" s="200">
        <f>IF('Le mie risposte'!D92=dropdowns!$B$75,'Le mie risposte'!F92,0)</f>
      </c>
      <c r="D4" s="200">
        <f>IF('Le mie risposte'!D92="",'Le mie risposte'!F92,IF('Le mie risposte'!D92=dropdowns!$B$76,'Le mie risposte'!F92,0))</f>
      </c>
      <c r="E4" s="201">
        <f t="shared" ref="E4:E10" si="0">SUM(C4:D4)</f>
      </c>
      <c r="F4" s="115"/>
      <c r="G4" s="115"/>
      <c r="H4" s="199" t="str">
        <f>Vertaling!B184</f>
      </c>
      <c r="I4" s="203">
        <f>C18</f>
      </c>
      <c r="J4" s="115"/>
      <c r="K4" s="115"/>
      <c r="L4" s="115"/>
    </row>
    <row r="5" spans="1:19">
      <c r="B5" s="199" t="str">
        <f>Vertaling!B169</f>
      </c>
      <c r="C5" s="200">
        <f>IF('Le mie risposte'!D94=dropdowns!$B$75,'Le mie risposte'!F94,0)</f>
      </c>
      <c r="D5" s="200">
        <f>IF('Le mie risposte'!D94="",'Le mie risposte'!F94,IF('Le mie risposte'!D94=dropdowns!$B$76,'Le mie risposte'!F94,0))</f>
      </c>
      <c r="E5" s="201">
        <f t="shared" si="0"/>
      </c>
      <c r="F5" s="115"/>
      <c r="G5" s="115"/>
      <c r="H5" s="199" t="str">
        <f>Vertaling!B185</f>
      </c>
      <c r="I5" s="203">
        <f>'Le mie risposte'!F121</f>
      </c>
      <c r="J5" s="115"/>
      <c r="K5" s="165"/>
      <c r="L5" s="115"/>
    </row>
    <row r="6" spans="1:19" ht="14.25" customHeight="1">
      <c r="B6" s="199" t="str">
        <f>Vertaling!B170</f>
      </c>
      <c r="C6" s="200">
        <f>IF('Le mie risposte'!D95=dropdowns!$B$75,'Le mie risposte'!F95,0)</f>
      </c>
      <c r="D6" s="200">
        <f>IF('Le mie risposte'!D96="",'Le mie risposte'!F96,IF('Le mie risposte'!D96=dropdowns!$B$76,'Le mie risposte'!F96,0))</f>
      </c>
      <c r="E6" s="201">
        <f t="shared" si="0"/>
      </c>
      <c r="F6" s="115"/>
      <c r="G6" s="115"/>
      <c r="H6" s="199" t="str">
        <f>Vertaling!B186</f>
      </c>
      <c r="I6" s="203">
        <f>'Le mie risposte'!F123</f>
      </c>
      <c r="J6" s="115"/>
      <c r="K6" s="115"/>
      <c r="L6" s="115"/>
    </row>
    <row r="7" spans="1:19" ht="14.25" customHeight="1">
      <c r="B7" s="199" t="str">
        <f>Vertaling!B79</f>
      </c>
      <c r="C7" s="200">
        <f>IF('Le mie risposte'!D96=dropdowns!$B$75,'Le mie risposte'!F96,0)+IF('Le mie risposte'!D98=dropdowns!$B$75,'Le mie risposte'!F98,0)</f>
      </c>
      <c r="D7" s="200">
        <f>IF('Le mie risposte'!D98="",'Le mie risposte'!F98,IF('Le mie risposte'!D98=dropdowns!$B$76,'Le mie risposte'!F98,0))</f>
      </c>
      <c r="E7" s="201">
        <f>SUM(C7:D7)</f>
      </c>
      <c r="F7" s="115"/>
      <c r="G7" s="115"/>
      <c r="H7" s="204" t="str">
        <f>Vertaling!B187</f>
      </c>
      <c r="I7" s="205">
        <f>SUM(I4:I6)</f>
      </c>
      <c r="J7" s="115"/>
      <c r="K7" s="115"/>
      <c r="L7" s="115"/>
    </row>
    <row r="8" spans="1:19" ht="14.25" customHeight="1">
      <c r="B8" s="199" t="str">
        <f>Vertaling!B171</f>
      </c>
      <c r="C8" s="200">
        <f>IF('Le mie risposte'!D100=dropdowns!$B$75,'Le mie risposte'!F100,0)</f>
      </c>
      <c r="D8" s="200">
        <f>IF('Le mie risposte'!D100="",'Le mie risposte'!F100,IF('Le mie risposte'!D100=dropdowns!$B$76,'Le mie risposte'!F100,0))</f>
      </c>
      <c r="E8" s="201">
        <f>SUM(C8:D8)</f>
      </c>
      <c r="F8" s="115"/>
      <c r="G8" s="115"/>
      <c r="H8" s="345"/>
      <c r="I8" s="345"/>
      <c r="J8" s="345"/>
      <c r="K8" s="115"/>
      <c r="L8" s="115"/>
    </row>
    <row r="9" spans="1:19" ht="14.25" customHeight="1">
      <c r="B9" s="199" t="str">
        <f>Vertaling!B172</f>
      </c>
      <c r="C9" s="200">
        <f>IF('Le mie risposte'!D102=dropdowns!$B$75,'Le mie risposte'!F102,0)</f>
      </c>
      <c r="D9" s="200">
        <f>IF('Le mie risposte'!D102="",'Le mie risposte'!F102,IF('Le mie risposte'!D102=dropdowns!$B$76,'Le mie risposte'!F102,0))</f>
      </c>
      <c r="E9" s="201">
        <f t="shared" si="0"/>
      </c>
      <c r="F9" s="115"/>
      <c r="G9" s="115"/>
      <c r="H9" s="185"/>
      <c r="I9" s="186"/>
      <c r="J9" s="115"/>
      <c r="K9" s="115"/>
      <c r="L9" s="115"/>
    </row>
    <row r="10" spans="1:19" ht="14.25" customHeight="1">
      <c r="B10" s="199" t="str">
        <f>Vertaling!B173</f>
      </c>
      <c r="C10" s="202"/>
      <c r="D10" s="200">
        <f>'Le mie risposte'!F108+'Le mie risposte'!F110+'Le mie risposte'!F112</f>
      </c>
      <c r="E10" s="201">
        <f t="shared" si="0"/>
      </c>
      <c r="F10" s="115"/>
      <c r="G10" s="115"/>
      <c r="H10" s="185"/>
      <c r="I10" s="186"/>
      <c r="J10" s="115"/>
      <c r="K10" s="115"/>
      <c r="L10" s="115"/>
    </row>
    <row r="11" spans="1:19" ht="14.25" customHeight="1">
      <c r="B11" s="185"/>
      <c r="C11" s="185"/>
      <c r="D11" s="185"/>
      <c r="E11" s="185"/>
      <c r="F11" s="185"/>
      <c r="G11" s="185"/>
      <c r="H11" s="185"/>
      <c r="I11" s="186"/>
      <c r="J11" s="115"/>
      <c r="K11" s="115"/>
      <c r="L11" s="115"/>
    </row>
    <row r="12" spans="1:19" ht="14.25" customHeight="1">
      <c r="B12" s="325" t="str">
        <f>Vertaling!B174</f>
      </c>
      <c r="C12" s="326"/>
      <c r="D12" s="327"/>
      <c r="E12" s="328"/>
      <c r="F12" s="115"/>
      <c r="G12" s="115"/>
      <c r="H12" s="325" t="str">
        <f>Vertaling!B188</f>
      </c>
      <c r="I12" s="330"/>
      <c r="J12" s="185"/>
      <c r="K12" s="115"/>
      <c r="L12" s="115"/>
    </row>
    <row r="13" spans="1:19" ht="14.25" customHeight="1">
      <c r="B13" s="199" t="str">
        <f>Vertaling!B175</f>
      </c>
      <c r="C13" s="200">
        <f>IF('Le mie risposte'!D104=dropdowns!$B$75,'Le mie risposte'!F104,0)+IF('Le mie risposte'!D106=dropdowns!$B$75,'Le mie risposte'!F106,0)</f>
      </c>
      <c r="D13" s="200">
        <f>IF('Le mie risposte'!D104="",'Le mie risposte'!F104,IF('Le mie risposte'!D104=dropdowns!$B$76,'Le mie risposte'!F104,0))+IF('Le mie risposte'!D106="",'Le mie risposte'!F106,IF('Le mie risposte'!D106=dropdowns!$B$76,'Le mie risposte'!F106,0))</f>
      </c>
      <c r="E13" s="201">
        <f>SUM(C13:D13)</f>
      </c>
      <c r="F13" s="115"/>
      <c r="G13" s="115"/>
      <c r="H13" s="199" t="str">
        <f>Vertaling!B189</f>
      </c>
      <c r="I13" s="203">
        <f>'Le mie risposte'!F131</f>
      </c>
      <c r="J13" s="115"/>
      <c r="K13" s="115"/>
      <c r="L13" s="115"/>
    </row>
    <row r="14" spans="1:19" ht="14.25" customHeight="1">
      <c r="B14" s="199" t="str">
        <f>Vertaling!B176</f>
      </c>
      <c r="C14" s="202"/>
      <c r="D14" s="200">
        <f>'Le mie risposte'!F114</f>
      </c>
      <c r="E14" s="201">
        <f>D14</f>
      </c>
      <c r="F14" s="115"/>
      <c r="G14" s="115"/>
      <c r="H14" s="199" t="str">
        <f>Vertaling!B190</f>
      </c>
      <c r="I14" s="203">
        <f>IF(E18-I7-I13&lt;0,0,E18-I7-I13)</f>
      </c>
      <c r="J14" s="115"/>
      <c r="K14" s="115"/>
      <c r="L14" s="115"/>
    </row>
    <row r="15" spans="1:19" ht="14.25" customHeight="1">
      <c r="B15" s="199" t="str">
        <f>Vertaling!B177</f>
      </c>
      <c r="C15" s="202"/>
      <c r="D15" s="209">
        <f>'Le mie risposte'!F116</f>
      </c>
      <c r="E15" s="201">
        <f>D15</f>
      </c>
      <c r="F15" s="185"/>
      <c r="G15" s="185"/>
      <c r="H15" s="204" t="str">
        <f>Vertaling!B191</f>
      </c>
      <c r="I15" s="205">
        <f>SUM(I13:I14)</f>
      </c>
      <c r="J15" s="115"/>
      <c r="K15" s="115"/>
      <c r="L15" s="115"/>
    </row>
    <row r="16" spans="1:19">
      <c r="B16" s="199" t="str">
        <f>Vertaling!B178</f>
      </c>
      <c r="C16" s="202"/>
      <c r="D16" s="200">
        <f>'Le mie risposte'!F118+IF(SUM('Previsione di investimento'!D4:D15)+'Le mie risposte'!F118-'Previsione di investimento'!I5-'Previsione di investimento'!I6-'Previsione di investimento'!I13&lt;0,-1*(SUM('Previsione di investimento'!D4:D15)+'Le mie risposte'!F118-'Previsione di investimento'!I5-'Previsione di investimento'!I6-'Previsione di investimento'!I13),0)</f>
      </c>
      <c r="E16" s="201">
        <f>D16</f>
      </c>
      <c r="F16" s="185"/>
      <c r="G16" s="185"/>
      <c r="H16" s="116"/>
      <c r="I16" s="186"/>
      <c r="J16" s="115"/>
      <c r="K16" s="115"/>
      <c r="L16" s="115"/>
    </row>
    <row r="17" spans="2:12" ht="13.5" customHeight="1">
      <c r="B17" s="185"/>
      <c r="C17" s="185"/>
      <c r="D17" s="185"/>
      <c r="E17" s="185"/>
      <c r="F17" s="187"/>
      <c r="G17" s="187"/>
      <c r="H17" s="115"/>
      <c r="I17" s="115"/>
      <c r="J17" s="115"/>
      <c r="K17" s="115"/>
      <c r="L17" s="115"/>
    </row>
    <row r="18" spans="2:12" ht="13.5" customHeight="1">
      <c r="B18" s="207" t="str">
        <f>Vertaling!B179</f>
      </c>
      <c r="C18" s="210">
        <f>SUM(C4:C13)</f>
      </c>
      <c r="D18" s="210">
        <f>SUM(D4:D17)</f>
      </c>
      <c r="E18" s="211">
        <f>SUM(E4:E17)</f>
      </c>
      <c r="F18" s="115"/>
      <c r="G18" s="115"/>
      <c r="H18" s="207" t="str">
        <f>Vertaling!B192</f>
      </c>
      <c r="I18" s="208">
        <f>I7+I15</f>
      </c>
      <c r="J18" s="115"/>
      <c r="K18" s="115"/>
      <c r="L18" s="115"/>
    </row>
    <row r="19" spans="2:12">
      <c r="B19" s="115"/>
      <c r="C19" s="188"/>
      <c r="D19" s="189"/>
      <c r="E19" s="190"/>
      <c r="F19" s="115"/>
      <c r="G19" s="115"/>
      <c r="H19" s="115"/>
      <c r="I19" s="115"/>
      <c r="J19" s="115"/>
      <c r="K19" s="115"/>
      <c r="L19" s="115"/>
    </row>
    <row r="20" spans="2:12">
      <c r="B20" s="115"/>
      <c r="C20" s="115"/>
      <c r="D20" s="190"/>
      <c r="E20" s="115"/>
      <c r="F20" s="115"/>
      <c r="G20" s="115"/>
      <c r="H20" s="115"/>
      <c r="I20" s="115"/>
      <c r="J20" s="115"/>
      <c r="K20" s="115"/>
      <c r="L20" s="115"/>
    </row>
    <row r="21" spans="2:12" ht="29.25" customHeight="1">
      <c r="B21" s="194" t="str">
        <f>Vertaling!B193</f>
      </c>
      <c r="C21" s="197">
        <f>IF(SUM('Previsione di investimento'!D4:D15)+'Le mie risposte'!F118-'Previsione di investimento'!I5-'Previsione di investimento'!I6-'Previsione di investimento'!I13&lt;0,0,SUM('Previsione di investimento'!D4:D15)+'Le mie risposte'!F118-'Previsione di investimento'!I5-'Previsione di investimento'!I6-'Previsione di investimento'!I13)</f>
      </c>
      <c r="D21" s="427" t="s">
        <v>1852</v>
      </c>
      <c r="E21" s="427"/>
      <c r="F21" s="427"/>
      <c r="G21" s="193"/>
      <c r="H21" s="325" t="str">
        <f>Vertaling!B201</f>
      </c>
      <c r="I21" s="330"/>
      <c r="J21" s="115"/>
      <c r="K21" s="115"/>
      <c r="L21" s="115"/>
    </row>
    <row r="22" spans="2:12" ht="28.5" customHeight="1">
      <c r="B22" s="115"/>
      <c r="C22" s="115"/>
      <c r="D22" s="115"/>
      <c r="E22" s="115"/>
      <c r="F22" s="115"/>
      <c r="G22" s="115"/>
      <c r="H22" s="212" t="str">
        <f>Vertaling!B202</f>
      </c>
      <c r="I22" s="213">
        <v>0.05</v>
      </c>
      <c r="J22" s="423" t="s">
        <v>1853</v>
      </c>
      <c r="K22" s="424"/>
      <c r="L22" s="424"/>
    </row>
    <row r="23" spans="2:12">
      <c r="B23" s="115"/>
      <c r="C23" s="114" t="str">
        <f>Vertaling!B194</f>
      </c>
      <c r="D23" s="115"/>
      <c r="E23" s="115"/>
      <c r="F23" s="115"/>
      <c r="G23" s="115"/>
      <c r="H23" s="199" t="str">
        <f>Vertaling!B203</f>
      </c>
      <c r="I23" s="214">
        <f>'Oneri mensili'!J7</f>
      </c>
      <c r="J23" s="115"/>
      <c r="K23" s="115"/>
      <c r="L23" s="115"/>
    </row>
    <row r="24" spans="2:12" ht="16.5" customHeight="1">
      <c r="B24" s="191" t="str">
        <f>Vertaling!$B$197</f>
      </c>
      <c r="C24" s="195">
        <f>IF(DATA!$B$197="",5,DATA!$B$197)</f>
      </c>
      <c r="D24" s="193" t="str">
        <f>Vertaling!B198</f>
      </c>
      <c r="E24" s="115"/>
      <c r="F24" s="115"/>
      <c r="G24" s="115"/>
      <c r="H24" s="215" t="str">
        <f>Vertaling!B204</f>
      </c>
      <c r="I24" s="216">
        <f ca="1">'Oneri mensili'!J11</f>
      </c>
      <c r="J24" s="115"/>
      <c r="K24" s="115"/>
      <c r="L24" s="115"/>
    </row>
    <row r="25" spans="2:12" ht="25.5" customHeight="1">
      <c r="B25" s="426" t="str">
        <f>Vertaling!B195</f>
      </c>
      <c r="C25" s="426"/>
      <c r="D25" s="426"/>
      <c r="E25" s="426"/>
      <c r="F25" s="411"/>
      <c r="G25" s="411"/>
      <c r="H25" s="198" t="str">
        <f>Vertaling!B205</f>
      </c>
      <c r="I25" s="206"/>
      <c r="J25" s="115"/>
      <c r="K25" s="115"/>
      <c r="L25" s="115"/>
    </row>
    <row r="26" spans="2:12" ht="16.5" customHeight="1">
      <c r="B26" s="191" t="str">
        <f>Vertaling!$B$197</f>
      </c>
      <c r="C26" s="195">
        <f>IF(DATA!$B$198="",6,DATA!$B$198)</f>
      </c>
      <c r="D26" s="193" t="str">
        <f>Vertaling!B199</f>
      </c>
      <c r="E26" s="115"/>
      <c r="F26" s="115"/>
      <c r="G26" s="115"/>
      <c r="H26" s="199" t="str">
        <f>Vertaling!B206</f>
      </c>
      <c r="I26" s="214">
        <f>'Oneri mensili'!J3</f>
      </c>
      <c r="J26" s="115"/>
      <c r="K26" s="115"/>
      <c r="L26" s="115"/>
    </row>
    <row r="27" spans="2:12" ht="16.5" hidden="1" customHeight="1">
      <c r="B27" s="115"/>
      <c r="C27" s="114" t="str">
        <f>Vertaling!B196</f>
      </c>
      <c r="D27" s="115"/>
      <c r="E27" s="115"/>
      <c r="F27" s="115"/>
      <c r="G27" s="115"/>
      <c r="H27" s="116"/>
      <c r="I27" s="115"/>
      <c r="J27" s="115"/>
      <c r="K27" s="115"/>
      <c r="L27" s="115"/>
    </row>
    <row r="28" spans="2:12" ht="15" hidden="1" customHeight="1">
      <c r="B28" s="191" t="str">
        <f>Vertaling!$B$197</f>
      </c>
      <c r="C28" s="196" t="s">
        <v>26</v>
      </c>
      <c r="D28" s="425" t="str">
        <f>Vertaling!B200</f>
      </c>
      <c r="E28" s="425"/>
      <c r="F28" s="410"/>
      <c r="G28" s="410"/>
      <c r="I28" s="115"/>
      <c r="J28" s="115"/>
      <c r="K28" s="115"/>
      <c r="L28" s="115"/>
    </row>
    <row r="29" spans="2:12" hidden="1">
      <c r="B29" s="115"/>
      <c r="C29" s="115"/>
      <c r="D29" s="425"/>
      <c r="E29" s="425"/>
      <c r="F29" s="410"/>
      <c r="G29" s="410"/>
      <c r="H29" s="115"/>
      <c r="I29" s="115"/>
      <c r="J29" s="115"/>
      <c r="K29" s="115"/>
      <c r="L29" s="115"/>
    </row>
    <row r="30" spans="2:12">
      <c r="B30" s="115"/>
      <c r="C30" s="115"/>
      <c r="D30" s="115"/>
      <c r="E30" s="115"/>
      <c r="F30" s="115"/>
      <c r="G30" s="115"/>
      <c r="H30" s="115"/>
      <c r="I30" s="115"/>
      <c r="J30" s="115"/>
      <c r="K30" s="115"/>
      <c r="L30" s="115"/>
    </row>
    <row r="31" spans="2:12">
      <c r="B31" s="115"/>
      <c r="C31" s="115"/>
      <c r="D31" s="115"/>
      <c r="E31" s="115"/>
      <c r="F31" s="115"/>
      <c r="G31" s="115"/>
      <c r="H31" s="116" t="str">
        <f>Vertaling!B208</f>
      </c>
      <c r="I31" s="115"/>
      <c r="J31" s="115"/>
      <c r="K31" s="115"/>
      <c r="L31" s="115"/>
    </row>
    <row r="32" spans="2:12">
      <c r="B32" s="115"/>
      <c r="C32" s="115"/>
      <c r="D32" s="115"/>
      <c r="E32" s="115"/>
      <c r="F32" s="115"/>
      <c r="G32" s="115"/>
      <c r="H32" s="115"/>
      <c r="I32" s="115"/>
      <c r="J32" s="115"/>
      <c r="K32" s="115"/>
      <c r="L32" s="115"/>
    </row>
    <row r="33" spans="2:12">
      <c r="B33" s="115"/>
      <c r="C33" s="115"/>
      <c r="D33" s="115"/>
      <c r="E33" s="115"/>
      <c r="F33" s="115"/>
      <c r="G33" s="115"/>
      <c r="H33" s="115"/>
      <c r="I33" s="115"/>
      <c r="J33" s="115"/>
      <c r="K33" s="115"/>
      <c r="L33" s="115"/>
    </row>
    <row r="34" spans="2:12">
      <c r="B34" s="115"/>
      <c r="C34" s="115"/>
      <c r="D34" s="115"/>
      <c r="E34" s="115"/>
      <c r="F34" s="115"/>
      <c r="G34" s="115"/>
      <c r="H34" s="115"/>
      <c r="I34" s="115"/>
      <c r="J34" s="115"/>
      <c r="K34" s="115"/>
      <c r="L34" s="115"/>
    </row>
    <row r="35" spans="2:12">
      <c r="B35" s="115"/>
      <c r="C35" s="115"/>
      <c r="D35" s="115"/>
      <c r="E35" s="115"/>
      <c r="F35" s="115"/>
      <c r="G35" s="115"/>
      <c r="H35" s="115"/>
      <c r="I35" s="115"/>
      <c r="J35" s="115"/>
      <c r="K35" s="115"/>
      <c r="L35" s="115"/>
    </row>
    <row r="36" spans="2:12">
      <c r="B36" s="115"/>
      <c r="C36" s="115"/>
      <c r="D36" s="115"/>
      <c r="E36" s="115"/>
      <c r="F36" s="115"/>
      <c r="G36" s="115"/>
      <c r="H36" s="115"/>
      <c r="I36" s="115"/>
      <c r="J36" s="115"/>
      <c r="K36" s="115"/>
      <c r="L36" s="115"/>
    </row>
    <row r="37" spans="2:12">
      <c r="B37" s="115"/>
      <c r="C37" s="115"/>
      <c r="D37" s="115"/>
      <c r="E37" s="115"/>
      <c r="F37" s="115"/>
      <c r="G37" s="115"/>
      <c r="H37" s="115"/>
      <c r="I37" s="115"/>
      <c r="J37" s="115"/>
      <c r="K37" s="115"/>
      <c r="L37" s="115"/>
    </row>
    <row r="38" spans="2:12">
      <c r="B38" s="115"/>
      <c r="C38" s="115"/>
      <c r="D38" s="115"/>
      <c r="E38" s="115"/>
      <c r="F38" s="115"/>
      <c r="G38" s="115"/>
      <c r="H38" s="115"/>
      <c r="I38" s="115"/>
      <c r="J38" s="115"/>
      <c r="K38" s="115"/>
      <c r="L38" s="115"/>
    </row>
    <row r="39" spans="2:12">
      <c r="B39" s="115"/>
      <c r="C39" s="115"/>
      <c r="D39" s="115"/>
      <c r="E39" s="115"/>
      <c r="F39" s="115"/>
      <c r="G39" s="115"/>
      <c r="H39" s="115"/>
      <c r="I39" s="115"/>
      <c r="J39" s="115"/>
      <c r="K39" s="115"/>
      <c r="L39" s="115"/>
    </row>
    <row r="40" spans="2:12">
      <c r="B40" s="115"/>
      <c r="C40" s="115"/>
      <c r="D40" s="115"/>
      <c r="E40" s="115"/>
      <c r="F40" s="115"/>
      <c r="G40" s="115"/>
      <c r="H40" s="115"/>
      <c r="I40" s="115"/>
      <c r="J40" s="115"/>
      <c r="K40" s="115"/>
      <c r="L40" s="115"/>
    </row>
    <row r="41" spans="2:12">
      <c r="B41" s="115"/>
      <c r="C41" s="115"/>
      <c r="D41" s="115"/>
      <c r="E41" s="115"/>
      <c r="F41" s="115"/>
      <c r="G41" s="115"/>
      <c r="H41" s="115"/>
      <c r="I41" s="115"/>
      <c r="J41" s="115"/>
      <c r="K41" s="115"/>
      <c r="L41" s="115"/>
    </row>
    <row r="42" spans="2:12">
      <c r="B42" s="115"/>
      <c r="C42" s="115"/>
      <c r="D42" s="115"/>
      <c r="E42" s="115"/>
      <c r="F42" s="115"/>
      <c r="G42" s="115"/>
      <c r="H42" s="115"/>
      <c r="I42" s="115"/>
      <c r="J42" s="115"/>
      <c r="K42" s="115"/>
      <c r="L42" s="115"/>
    </row>
    <row r="43" spans="2:12">
      <c r="B43" s="115"/>
      <c r="C43" s="115"/>
      <c r="D43" s="115"/>
      <c r="E43" s="115"/>
      <c r="F43" s="115"/>
      <c r="G43" s="115"/>
      <c r="H43" s="115"/>
      <c r="I43" s="115"/>
      <c r="J43" s="115"/>
      <c r="K43" s="115"/>
      <c r="L43" s="115"/>
    </row>
    <row r="44" spans="2:12">
      <c r="B44" s="115"/>
      <c r="C44" s="115"/>
      <c r="D44" s="115"/>
      <c r="E44" s="115"/>
      <c r="F44" s="115"/>
      <c r="G44" s="115"/>
      <c r="H44" s="115"/>
      <c r="I44" s="115"/>
      <c r="J44" s="115"/>
      <c r="K44" s="115"/>
      <c r="L44" s="115"/>
    </row>
    <row r="45" spans="2:12">
      <c r="B45" s="115"/>
      <c r="C45" s="115"/>
      <c r="D45" s="115"/>
      <c r="E45" s="115"/>
      <c r="F45" s="115"/>
      <c r="G45" s="115"/>
      <c r="H45" s="115"/>
      <c r="I45" s="115"/>
      <c r="J45" s="115"/>
      <c r="K45" s="115"/>
      <c r="L45" s="115"/>
    </row>
    <row r="46" spans="2:12">
      <c r="B46" s="115"/>
      <c r="C46" s="115"/>
      <c r="D46" s="115"/>
      <c r="E46" s="115"/>
      <c r="F46" s="115"/>
      <c r="G46" s="115"/>
      <c r="H46" s="115"/>
      <c r="I46" s="115"/>
      <c r="J46" s="115"/>
      <c r="K46" s="115"/>
      <c r="L46" s="115"/>
    </row>
    <row r="47" spans="2:12">
      <c r="B47" s="115"/>
      <c r="C47" s="115"/>
      <c r="D47" s="115"/>
      <c r="E47" s="115"/>
      <c r="F47" s="115"/>
      <c r="G47" s="115"/>
      <c r="H47" s="115"/>
      <c r="I47" s="115"/>
      <c r="J47" s="115"/>
      <c r="K47" s="115"/>
      <c r="L47" s="115"/>
    </row>
    <row r="48" spans="2:12">
      <c r="B48" s="115"/>
      <c r="C48" s="115"/>
      <c r="D48" s="115"/>
      <c r="E48" s="115"/>
      <c r="F48" s="115"/>
      <c r="G48" s="115"/>
      <c r="H48" s="115"/>
      <c r="I48" s="115"/>
      <c r="J48" s="115"/>
      <c r="K48" s="115"/>
      <c r="L48" s="115"/>
    </row>
    <row r="49" spans="2:12">
      <c r="B49" s="115"/>
      <c r="C49" s="115"/>
      <c r="D49" s="115"/>
      <c r="E49" s="115"/>
      <c r="F49" s="115"/>
      <c r="G49" s="115"/>
      <c r="H49" s="115"/>
      <c r="I49" s="115"/>
      <c r="J49" s="115"/>
      <c r="K49" s="115"/>
      <c r="L49" s="115"/>
    </row>
    <row r="50" spans="2:12">
      <c r="B50" s="115"/>
      <c r="C50" s="115"/>
      <c r="D50" s="115"/>
      <c r="E50" s="115"/>
      <c r="F50" s="115"/>
      <c r="G50" s="115"/>
      <c r="H50" s="115"/>
      <c r="I50" s="115"/>
      <c r="J50" s="115"/>
      <c r="K50" s="115"/>
      <c r="L50" s="115"/>
    </row>
    <row r="51" spans="2:12">
      <c r="B51" s="115"/>
      <c r="C51" s="115"/>
      <c r="D51" s="115"/>
      <c r="E51" s="115"/>
      <c r="F51" s="115"/>
      <c r="G51" s="115"/>
      <c r="H51" s="115"/>
      <c r="I51" s="115"/>
      <c r="J51" s="115"/>
      <c r="K51" s="115"/>
      <c r="L51" s="115"/>
    </row>
    <row r="52" spans="2:12">
      <c r="B52" s="115"/>
      <c r="C52" s="115"/>
      <c r="D52" s="115"/>
      <c r="E52" s="115"/>
      <c r="F52" s="115"/>
      <c r="G52" s="115"/>
      <c r="H52" s="115"/>
      <c r="I52" s="115"/>
      <c r="J52" s="115"/>
      <c r="K52" s="115"/>
      <c r="L52" s="115"/>
    </row>
    <row r="53" spans="2:12">
      <c r="B53" s="115"/>
      <c r="C53" s="115"/>
      <c r="D53" s="115"/>
      <c r="E53" s="115"/>
      <c r="F53" s="115"/>
      <c r="G53" s="115"/>
      <c r="H53" s="115"/>
      <c r="I53" s="115"/>
      <c r="J53" s="115"/>
      <c r="K53" s="115"/>
      <c r="L53" s="115"/>
    </row>
    <row r="57" spans="2:12" ht="14.25" customHeight="1"/>
  </sheetData>
  <sheetProtection algorithmName="SHA-512" hashValue="bsz+umVPBYDw1d3Q4xpDrnQVE4a+nHjuDIjzU+NDlFY+7zOpOb5Edu+u+Lj3n4KptOPpYn0nRNj4Ao3CG8hqZg==" saltValue="JdjihtKggyRSVGZQQkNQ4g==" spinCount="100000" sheet="1" formatColumns="0"/>
  <mergeCells count="5">
    <mergeCell ref="J22:L22"/>
    <mergeCell ref="D28:E29"/>
    <mergeCell ref="B25:E25"/>
    <mergeCell ref="B1:H1"/>
    <mergeCell ref="D21:F21"/>
  </mergeCells>
  <dataValidations count="1">
    <dataValidation type="whole" allowBlank="1" showInputMessage="1" showErrorMessage="1" sqref="C24" xr:uid="{00000000-0002-0000-0300-000001000000}">
      <formula1>1</formula1>
      <formula2>360</formula2>
    </dataValidation>
  </dataValidations>
  <pageMargins left="0.74791666666666667" right="0.74791666666666667" top="0.98402777777777772" bottom="0.98402777777777772" header="0.51180555555555551" footer="0.51180555555555551"/>
  <pageSetup paperSize="9" scale="80" firstPageNumber="0" fitToHeight="0"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dropdowns!B26:B38</xm:f>
          </x14:formula1>
          <xm:sqref>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tabColor rgb="FFE2001A"/>
    <pageSetUpPr fitToPage="1"/>
  </sheetPr>
  <dimension ref="A1:U150"/>
  <sheetViews>
    <sheetView topLeftCell="A100" workbookViewId="0">
      <selection activeCellId="6" sqref="A116:XFD1048576 P111:XFD115 A111:C115 A71:XFD110 P66:XFD70 A66:C70 A1:XFD65"/>
    </sheetView>
  </sheetViews>
  <sheetFormatPr defaultColWidth="9.140625" defaultRowHeight="14.25" customHeight="1"/>
  <cols>
    <col min="1" max="1" width="3.140625" style="184" customWidth="1"/>
    <col min="2" max="2" width="46.42578125" style="184" customWidth="1"/>
    <col min="3" max="3" width="9.7109375" style="184" customWidth="1"/>
    <col min="4" max="15" width="11.28515625" style="184" bestFit="1" customWidth="1"/>
    <col min="16" max="16" width="12.85546875" style="184" customWidth="1"/>
    <col min="17" max="17" width="3.7109375" style="184" customWidth="1"/>
    <col min="18" max="18" width="20.42578125" style="184" customWidth="1"/>
    <col min="19" max="19" width="9.42578125" style="184" customWidth="1"/>
    <col min="20" max="16384" width="9.140625" style="184"/>
  </cols>
  <sheetData>
    <row r="1" spans="1:21" ht="63" customHeight="1">
      <c r="A1" s="365"/>
      <c r="B1" s="428" t="str">
        <f>Vertaling!B212</f>
      </c>
      <c r="C1" s="428"/>
      <c r="D1" s="428"/>
      <c r="E1" s="428"/>
      <c r="F1" s="428"/>
      <c r="G1" s="428"/>
      <c r="H1" s="428"/>
      <c r="I1" s="428"/>
      <c r="J1" s="428"/>
      <c r="K1" s="428"/>
      <c r="L1" s="428"/>
      <c r="M1" s="428"/>
      <c r="N1" s="428"/>
      <c r="O1" s="428"/>
      <c r="P1" s="366"/>
      <c r="Q1" s="365"/>
      <c r="R1" s="365"/>
      <c r="S1" s="365"/>
      <c r="T1" s="365"/>
      <c r="U1" s="365"/>
    </row>
    <row r="2" spans="1:21" ht="15">
      <c r="A2" s="365"/>
      <c r="B2" s="367" t="s">
        <v>1841</v>
      </c>
      <c r="C2" s="365"/>
      <c r="D2" s="368"/>
      <c r="E2" s="365"/>
      <c r="F2" s="365"/>
      <c r="G2" s="365"/>
      <c r="H2" s="365"/>
      <c r="I2" s="365"/>
      <c r="J2" s="365"/>
      <c r="K2" s="365"/>
      <c r="L2" s="365"/>
      <c r="M2" s="365"/>
      <c r="N2" s="365"/>
      <c r="O2" s="365"/>
      <c r="P2" s="365"/>
      <c r="Q2" s="365"/>
      <c r="R2" s="369" t="s">
        <v>25</v>
      </c>
      <c r="S2" s="365"/>
      <c r="T2" s="365"/>
      <c r="U2" s="365"/>
    </row>
    <row r="3" spans="1:21" ht="14.25" customHeight="1">
      <c r="A3" s="365"/>
      <c r="B3" s="370" t="str">
        <f>Vertaling!B213</f>
      </c>
      <c r="C3" s="371">
        <v>0</v>
      </c>
      <c r="D3" s="371">
        <v>1</v>
      </c>
      <c r="E3" s="371">
        <v>2</v>
      </c>
      <c r="F3" s="371">
        <v>3</v>
      </c>
      <c r="G3" s="371">
        <v>4</v>
      </c>
      <c r="H3" s="371">
        <v>5</v>
      </c>
      <c r="I3" s="371">
        <v>6</v>
      </c>
      <c r="J3" s="371">
        <v>7</v>
      </c>
      <c r="K3" s="371">
        <v>8</v>
      </c>
      <c r="L3" s="371">
        <v>9</v>
      </c>
      <c r="M3" s="371">
        <v>10</v>
      </c>
      <c r="N3" s="371">
        <v>11</v>
      </c>
      <c r="O3" s="371">
        <v>12</v>
      </c>
      <c r="P3" s="371" t="s">
        <v>27</v>
      </c>
      <c r="Q3" s="372"/>
      <c r="R3" s="373"/>
      <c r="S3" s="372"/>
      <c r="T3" s="372"/>
      <c r="U3" s="372"/>
    </row>
    <row r="4" spans="1:21" ht="14.25" customHeight="1">
      <c r="A4" s="365"/>
      <c r="B4" s="372"/>
      <c r="C4" s="372"/>
      <c r="D4" s="374"/>
      <c r="E4" s="374"/>
      <c r="F4" s="374"/>
      <c r="G4" s="374"/>
      <c r="H4" s="374"/>
      <c r="I4" s="374"/>
      <c r="J4" s="374"/>
      <c r="K4" s="374"/>
      <c r="L4" s="374"/>
      <c r="M4" s="374"/>
      <c r="N4" s="374"/>
      <c r="O4" s="374"/>
      <c r="P4" s="374"/>
      <c r="Q4" s="372"/>
      <c r="R4" s="373"/>
      <c r="S4" s="372"/>
      <c r="T4" s="372"/>
      <c r="U4" s="372"/>
    </row>
    <row r="5" spans="1:21" ht="14.25" customHeight="1">
      <c r="A5" s="365"/>
      <c r="B5" s="375" t="str">
        <f>Vertaling!B214</f>
      </c>
      <c r="C5" s="376"/>
      <c r="D5" s="376">
        <f>C44</f>
      </c>
      <c r="E5" s="376">
        <f t="shared" ref="E5:O5" si="0">D44</f>
      </c>
      <c r="F5" s="376">
        <f t="shared" si="0"/>
      </c>
      <c r="G5" s="376">
        <f t="shared" si="0"/>
      </c>
      <c r="H5" s="376">
        <f t="shared" si="0"/>
      </c>
      <c r="I5" s="376">
        <f t="shared" si="0"/>
      </c>
      <c r="J5" s="376">
        <f t="shared" si="0"/>
      </c>
      <c r="K5" s="376">
        <f t="shared" si="0"/>
      </c>
      <c r="L5" s="376">
        <f t="shared" si="0"/>
      </c>
      <c r="M5" s="376">
        <f t="shared" si="0"/>
      </c>
      <c r="N5" s="376">
        <f t="shared" si="0"/>
      </c>
      <c r="O5" s="376">
        <f t="shared" si="0"/>
      </c>
      <c r="P5" s="377"/>
      <c r="Q5" s="372"/>
      <c r="R5" s="378"/>
      <c r="S5" s="372"/>
      <c r="T5" s="372"/>
      <c r="U5" s="372"/>
    </row>
    <row r="6" spans="1:21" ht="14.25" customHeight="1">
      <c r="A6" s="365"/>
      <c r="B6" s="379"/>
      <c r="C6" s="379"/>
      <c r="D6" s="379"/>
      <c r="E6" s="379"/>
      <c r="F6" s="379"/>
      <c r="G6" s="379"/>
      <c r="H6" s="379"/>
      <c r="I6" s="379"/>
      <c r="J6" s="379"/>
      <c r="K6" s="379"/>
      <c r="L6" s="379"/>
      <c r="M6" s="379"/>
      <c r="N6" s="379"/>
      <c r="O6" s="379"/>
      <c r="P6" s="379"/>
      <c r="Q6" s="372"/>
      <c r="R6" s="372"/>
      <c r="S6" s="372"/>
      <c r="T6" s="372"/>
      <c r="U6" s="372"/>
    </row>
    <row r="7" spans="1:21" ht="14.25" customHeight="1">
      <c r="A7" s="365"/>
      <c r="B7" s="380" t="str">
        <f>Vertaling!B215</f>
      </c>
      <c r="C7" s="381"/>
      <c r="D7" s="381"/>
      <c r="E7" s="381"/>
      <c r="F7" s="381"/>
      <c r="G7" s="381"/>
      <c r="H7" s="381"/>
      <c r="I7" s="381"/>
      <c r="J7" s="381"/>
      <c r="K7" s="381"/>
      <c r="L7" s="381"/>
      <c r="M7" s="381"/>
      <c r="N7" s="381"/>
      <c r="O7" s="381"/>
      <c r="P7" s="382"/>
      <c r="Q7" s="372"/>
      <c r="R7" s="372"/>
      <c r="S7" s="372"/>
      <c r="T7" s="372"/>
      <c r="U7" s="372"/>
    </row>
    <row r="8" spans="1:21" ht="14.25" customHeight="1">
      <c r="A8" s="383"/>
      <c r="B8" s="384" t="str">
        <f>Vertaling!B216</f>
      </c>
      <c r="C8" s="385">
        <f>'Oneri mensili'!C5</f>
      </c>
      <c r="D8" s="386"/>
      <c r="E8" s="386"/>
      <c r="F8" s="386"/>
      <c r="G8" s="386"/>
      <c r="H8" s="386"/>
      <c r="I8" s="386"/>
      <c r="J8" s="386"/>
      <c r="K8" s="386"/>
      <c r="L8" s="386"/>
      <c r="M8" s="386"/>
      <c r="N8" s="386"/>
      <c r="O8" s="386"/>
      <c r="P8" s="387">
        <f>SUM(C8:O8)</f>
      </c>
      <c r="Q8" s="372"/>
      <c r="R8" s="372"/>
      <c r="S8" s="372"/>
      <c r="T8" s="372"/>
      <c r="U8" s="372"/>
    </row>
    <row r="9" spans="1:21" ht="14.25" customHeight="1">
      <c r="A9" s="365"/>
      <c r="B9" s="384" t="str">
        <f>Vertaling!B217</f>
      </c>
      <c r="C9" s="385">
        <f>'Le mie risposte'!F121</f>
      </c>
      <c r="D9" s="386"/>
      <c r="E9" s="386"/>
      <c r="F9" s="386"/>
      <c r="G9" s="386"/>
      <c r="H9" s="386"/>
      <c r="I9" s="386"/>
      <c r="J9" s="386"/>
      <c r="K9" s="386"/>
      <c r="L9" s="386"/>
      <c r="M9" s="386"/>
      <c r="N9" s="386"/>
      <c r="O9" s="386"/>
      <c r="P9" s="387">
        <f>SUM(C9:O9)</f>
      </c>
      <c r="Q9" s="372"/>
      <c r="R9" s="372"/>
      <c r="S9" s="372"/>
      <c r="T9" s="372"/>
      <c r="U9" s="372"/>
    </row>
    <row r="10" spans="1:21" ht="14.25" customHeight="1">
      <c r="A10" s="365"/>
      <c r="B10" s="384" t="str">
        <f>Vertaling!B218</f>
      </c>
      <c r="C10" s="385">
        <f>'Le mie risposte'!$F$123+'Le mie risposte'!$F$131</f>
      </c>
      <c r="D10" s="386"/>
      <c r="E10" s="386"/>
      <c r="F10" s="386"/>
      <c r="G10" s="386"/>
      <c r="H10" s="386"/>
      <c r="I10" s="386"/>
      <c r="J10" s="386"/>
      <c r="K10" s="386"/>
      <c r="L10" s="386"/>
      <c r="M10" s="386"/>
      <c r="N10" s="386"/>
      <c r="O10" s="386"/>
      <c r="P10" s="387">
        <f>SUM(C10:O10)</f>
      </c>
      <c r="Q10" s="372"/>
      <c r="R10" s="372"/>
      <c r="S10" s="372"/>
      <c r="T10" s="372"/>
      <c r="U10" s="372"/>
    </row>
    <row r="11" spans="1:21" ht="14.25" customHeight="1">
      <c r="A11" s="365"/>
      <c r="B11" s="384" t="str">
        <f>Vertaling!B219</f>
      </c>
      <c r="C11" s="386"/>
      <c r="D11" s="385">
        <f>IF(D$3=D$3+dropdowns!$G$6,'Le mie risposte'!$D257,0)</f>
      </c>
      <c r="E11" s="385">
        <f>IF(E$3=D$3+dropdowns!$G$6,'Le mie risposte'!$D257,IF(E$3=E$3+dropdowns!$G$6,'Le mie risposte'!$D259,0))</f>
      </c>
      <c r="F11" s="385">
        <f>IF(F$3=D$3+dropdowns!$G$6,'Le mie risposte'!$D257,IF(F$3=E$3+dropdowns!$G$6,'Le mie risposte'!$D259,IF(F$3=F$3+dropdowns!$G$6,'Le mie risposte'!$D261,0)))</f>
      </c>
      <c r="G11" s="385">
        <f>IF(G$3=E$3+dropdowns!$G$6,'Le mie risposte'!$D259,IF(G$3=F$3+dropdowns!$G$6,'Le mie risposte'!$D261,IF(G$3=G$3+dropdowns!$G$6,'Le mie risposte'!$D263,0)))</f>
      </c>
      <c r="H11" s="385">
        <f>IF(H$3=F$3+dropdowns!$G$6,'Le mie risposte'!$D261*1,IF(H$3=G$3+dropdowns!$G$6,'Le mie risposte'!$D263*1,IF(H$3=H$3+dropdowns!$G$6,'Le mie risposte'!$D265*1,0)))</f>
      </c>
      <c r="I11" s="385">
        <f>IF(I$3=G$3+dropdowns!$G$6,'Le mie risposte'!$D263*1,IF(I$3=H$3+dropdowns!$G$6,'Le mie risposte'!$D265*1,IF(I$3=I$3+dropdowns!$G$6,'Le mie risposte'!$D267*1,0)))</f>
      </c>
      <c r="J11" s="385">
        <f>IF(J$3=H$3+dropdowns!$G$6,'Le mie risposte'!$D265*1,IF(J$3=I$3+dropdowns!$G$6,'Le mie risposte'!$D267*1,IF(J$3=J$3+dropdowns!$G$6,'Le mie risposte'!$D269*1,0)))</f>
      </c>
      <c r="K11" s="385">
        <f>IF(K$3=I$3+dropdowns!$G$6,'Le mie risposte'!$D267*1,IF(K$3=J$3+dropdowns!$G$6,'Le mie risposte'!$D269*1,IF(K$3=K$3+dropdowns!$G$6,'Le mie risposte'!$D271*1,0)))</f>
      </c>
      <c r="L11" s="385">
        <f>IF(L$3=J$3+dropdowns!$G$6,'Le mie risposte'!$D269*1,IF(L$3=K$3+dropdowns!$G$6,'Le mie risposte'!$D271*1,IF(L$3=L$3+dropdowns!$G$6,'Le mie risposte'!$D273*1,0)))</f>
      </c>
      <c r="M11" s="385">
        <f>IF(M$3=K$3+dropdowns!$G$6,'Le mie risposte'!$D271*1,IF(M$3=L$3+dropdowns!$G$6,'Le mie risposte'!$D273*1,IF(M$3=M$3+dropdowns!$G$6,'Le mie risposte'!$D275*1,0)))</f>
      </c>
      <c r="N11" s="385">
        <f>IF(N$3=L$3+dropdowns!$G$6,'Le mie risposte'!$D273*1,IF(N$3=M$3+dropdowns!$G$6,'Le mie risposte'!$D275*1,IF(N$3=N$3+dropdowns!$G$6,'Le mie risposte'!$D277*1,0)))</f>
      </c>
      <c r="O11" s="385">
        <f>IF(O$3=M$3+dropdowns!$G$6,'Le mie risposte'!$D275*1,IF(O$3=N$3+dropdowns!$G$6,'Le mie risposte'!$D277*1,IF(O$3=O$3+dropdowns!$G$6,'Le mie risposte'!$D279*1,0)))</f>
      </c>
      <c r="P11" s="387">
        <f>SUM(D11:O11)</f>
      </c>
      <c r="Q11" s="372"/>
      <c r="R11" s="372"/>
      <c r="S11" s="372"/>
      <c r="T11" s="372"/>
      <c r="U11" s="372"/>
    </row>
    <row r="12" spans="1:21" ht="14.25" customHeight="1">
      <c r="A12" s="365"/>
      <c r="B12" s="384" t="str">
        <f>Vertaling!B220</f>
      </c>
      <c r="C12" s="386"/>
      <c r="D12" s="385">
        <f>IF(D$3=D$3+dropdowns!$H$6,'Le mie risposte'!$F257,0)</f>
      </c>
      <c r="E12" s="385">
        <f>IF(E$3=D$3+dropdowns!$H$6,'Le mie risposte'!$F257,IF(E$3=E$3+dropdowns!$H$6,'Le mie risposte'!$F259,0))</f>
      </c>
      <c r="F12" s="385">
        <f>IF(F$3=D$3+dropdowns!$H$6,'Le mie risposte'!$F257,IF(F$3=E$3+dropdowns!$H$6,'Le mie risposte'!$F259,IF(F$3=F$3+dropdowns!$H$6,'Le mie risposte'!$F261,0)))</f>
      </c>
      <c r="G12" s="385">
        <f>IF(G$3=E$3+dropdowns!$H$6,'Le mie risposte'!$F259,IF(G$3=F$3+dropdowns!$H$6,'Le mie risposte'!$F261,IF(G$3=G$3+dropdowns!$H$6,'Le mie risposte'!$F263,0)))</f>
      </c>
      <c r="H12" s="385">
        <f>IF(H$3=F$3+dropdowns!$H$6,'Le mie risposte'!$F261*1,IF(H$3=G$3+dropdowns!$H$6,'Le mie risposte'!$F263*1,IF(H$3=H$3+dropdowns!$H$6,'Le mie risposte'!$F265*1,0)))</f>
      </c>
      <c r="I12" s="385">
        <f>IF(I$3=G$3+dropdowns!$H$6,'Le mie risposte'!$F263*1,IF(I$3=H$3+dropdowns!$H$6,'Le mie risposte'!$F265*1,IF(I$3=I$3+dropdowns!$H$6,'Le mie risposte'!$F267*1,0)))</f>
      </c>
      <c r="J12" s="385">
        <f>IF(J$3=H$3+dropdowns!$H$6,'Le mie risposte'!$F265*1,IF(J$3=I$3+dropdowns!$H$6,'Le mie risposte'!$F267*1,IF(J$3=J$3+dropdowns!$H$6,'Le mie risposte'!$F269*1,0)))</f>
      </c>
      <c r="K12" s="385">
        <f>IF(K$3=I$3+dropdowns!$H$6,'Le mie risposte'!$F267*1,IF(K$3=J$3+dropdowns!$H$6,'Le mie risposte'!$F269*1,IF(K$3=K$3+dropdowns!$H$6,'Le mie risposte'!$F271*1,0)))</f>
      </c>
      <c r="L12" s="385">
        <f>IF(L$3=J$3+dropdowns!$H$6,'Le mie risposte'!$F269*1,IF(L$3=K$3+dropdowns!$H$6,'Le mie risposte'!$F271*1,IF(L$3=L$3+dropdowns!$H$6,'Le mie risposte'!$F273*1,0)))</f>
      </c>
      <c r="M12" s="385">
        <f>IF(M$3=K$3+dropdowns!$H$6,'Le mie risposte'!$F271*1,IF(M$3=L$3+dropdowns!$H$6,'Le mie risposte'!$F273*1,IF(M$3=M$3+dropdowns!$H$6,'Le mie risposte'!$F275*1,0)))</f>
      </c>
      <c r="N12" s="385">
        <f>IF(N$3=L$3+dropdowns!$H$6,'Le mie risposte'!$F273*1,IF(N$3=M$3+dropdowns!$H$6,'Le mie risposte'!$F275*1,IF(N$3=N$3+dropdowns!$H$6,'Le mie risposte'!$F277*1,0)))</f>
      </c>
      <c r="O12" s="385">
        <f>IF(O$3=M$3+dropdowns!$H$6,'Le mie risposte'!$F275*1,IF(O$3=N$3+dropdowns!$H$6,'Le mie risposte'!$F277*1,IF(O$3=O$3+dropdowns!$H$6,'Le mie risposte'!$F279*1,0)))</f>
      </c>
      <c r="P12" s="387">
        <f>SUM(D12:O12)</f>
      </c>
      <c r="Q12" s="372"/>
      <c r="R12" s="372"/>
      <c r="S12" s="372"/>
      <c r="T12" s="372"/>
      <c r="U12" s="372"/>
    </row>
    <row r="13" spans="1:21" ht="14.25" customHeight="1">
      <c r="A13" s="365"/>
      <c r="B13" s="384" t="str">
        <f>Vertaling!B221</f>
      </c>
      <c r="C13" s="386"/>
      <c r="D13" s="385">
        <f>D12*'Le mie risposte'!$F$251+D11*'Le mie risposte'!$D$251</f>
      </c>
      <c r="E13" s="385">
        <f>E12*'Le mie risposte'!$F$251+E11*'Le mie risposte'!$D$251</f>
      </c>
      <c r="F13" s="385">
        <f>F12*'Le mie risposte'!$F$251+F11*'Le mie risposte'!$D$251</f>
      </c>
      <c r="G13" s="385">
        <f>G12*'Le mie risposte'!$F$251+G11*'Le mie risposte'!$D$251</f>
      </c>
      <c r="H13" s="385">
        <f>H12*'Le mie risposte'!$F$251+H11*'Le mie risposte'!$D$251</f>
      </c>
      <c r="I13" s="385">
        <f>I12*'Le mie risposte'!$F$251+I11*'Le mie risposte'!$D$251</f>
      </c>
      <c r="J13" s="385">
        <f>J12*'Le mie risposte'!$F$251+J11*'Le mie risposte'!$D$251</f>
      </c>
      <c r="K13" s="385">
        <f>K12*'Le mie risposte'!$F$251+K11*'Le mie risposte'!$D$251</f>
      </c>
      <c r="L13" s="385">
        <f>L12*'Le mie risposte'!$F$251+L11*'Le mie risposte'!$D$251</f>
      </c>
      <c r="M13" s="385">
        <f>M12*'Le mie risposte'!$F$251+M11*'Le mie risposte'!$D$251</f>
      </c>
      <c r="N13" s="385">
        <f>N12*'Le mie risposte'!$F$251+N11*'Le mie risposte'!$D$251</f>
      </c>
      <c r="O13" s="385">
        <f>O12*'Le mie risposte'!$F$251+O11*'Le mie risposte'!$D$251</f>
      </c>
      <c r="P13" s="387">
        <f>SUM(D13:O13)</f>
      </c>
      <c r="Q13" s="372"/>
      <c r="R13" s="372"/>
      <c r="S13" s="372"/>
      <c r="T13" s="372"/>
      <c r="U13" s="372"/>
    </row>
    <row r="14" spans="1:21" ht="14.25" hidden="1" customHeight="1">
      <c r="A14" s="365"/>
      <c r="B14" s="384" t="str">
        <f>Vertaling!B222</f>
      </c>
      <c r="C14" s="386"/>
      <c r="D14" s="388">
        <f t="shared" ref="D14:O14" si="1">SUM(D12:D13)</f>
      </c>
      <c r="E14" s="388">
        <f t="shared" si="1"/>
      </c>
      <c r="F14" s="388">
        <f t="shared" si="1"/>
      </c>
      <c r="G14" s="388">
        <f t="shared" si="1"/>
      </c>
      <c r="H14" s="388">
        <f t="shared" si="1"/>
      </c>
      <c r="I14" s="388">
        <f t="shared" si="1"/>
      </c>
      <c r="J14" s="388">
        <f t="shared" si="1"/>
      </c>
      <c r="K14" s="388">
        <f t="shared" si="1"/>
      </c>
      <c r="L14" s="388">
        <f t="shared" si="1"/>
      </c>
      <c r="M14" s="388">
        <f t="shared" si="1"/>
      </c>
      <c r="N14" s="388">
        <f t="shared" si="1"/>
      </c>
      <c r="O14" s="388">
        <f t="shared" si="1"/>
      </c>
      <c r="P14" s="387">
        <f>SUM(D14:O14)</f>
      </c>
      <c r="Q14" s="372"/>
      <c r="R14" s="372"/>
      <c r="S14" s="372"/>
      <c r="T14" s="372"/>
      <c r="U14" s="372"/>
    </row>
    <row r="15" spans="1:21">
      <c r="A15" s="365"/>
      <c r="B15" s="389" t="str">
        <f>Vertaling!B223</f>
      </c>
      <c r="C15" s="390">
        <f>SUM(C8:C14)</f>
      </c>
      <c r="D15" s="390">
        <f t="shared" ref="D15:O15" si="2">SUM(D8:D13)</f>
      </c>
      <c r="E15" s="390">
        <f t="shared" si="2"/>
      </c>
      <c r="F15" s="390">
        <f t="shared" si="2"/>
      </c>
      <c r="G15" s="390">
        <f t="shared" si="2"/>
      </c>
      <c r="H15" s="390">
        <f t="shared" si="2"/>
      </c>
      <c r="I15" s="390">
        <f t="shared" si="2"/>
      </c>
      <c r="J15" s="390">
        <f t="shared" si="2"/>
      </c>
      <c r="K15" s="390">
        <f t="shared" si="2"/>
      </c>
      <c r="L15" s="390">
        <f t="shared" si="2"/>
      </c>
      <c r="M15" s="390">
        <f t="shared" si="2"/>
      </c>
      <c r="N15" s="390">
        <f t="shared" si="2"/>
      </c>
      <c r="O15" s="390">
        <f t="shared" si="2"/>
      </c>
      <c r="P15" s="391">
        <f>SUM(C15:O15)</f>
      </c>
      <c r="Q15" s="372"/>
      <c r="R15" s="372"/>
      <c r="S15" s="372"/>
      <c r="T15" s="372"/>
      <c r="U15" s="372"/>
    </row>
    <row r="16" spans="1:21" ht="14.25" customHeight="1">
      <c r="A16" s="365"/>
      <c r="B16" s="379"/>
      <c r="C16" s="379"/>
      <c r="D16" s="379"/>
      <c r="E16" s="379"/>
      <c r="F16" s="379"/>
      <c r="G16" s="379"/>
      <c r="H16" s="379"/>
      <c r="I16" s="379"/>
      <c r="J16" s="379"/>
      <c r="K16" s="379"/>
      <c r="L16" s="379"/>
      <c r="M16" s="379"/>
      <c r="N16" s="379"/>
      <c r="O16" s="379"/>
      <c r="P16" s="379"/>
      <c r="Q16" s="372"/>
      <c r="R16" s="372"/>
      <c r="S16" s="372"/>
      <c r="T16" s="372"/>
      <c r="U16" s="372"/>
    </row>
    <row r="17" spans="1:21" ht="14.25" customHeight="1">
      <c r="A17" s="365"/>
      <c r="B17" s="392" t="str">
        <f>Vertaling!B224</f>
      </c>
      <c r="C17" s="393"/>
      <c r="D17" s="393"/>
      <c r="E17" s="393"/>
      <c r="F17" s="393"/>
      <c r="G17" s="393"/>
      <c r="H17" s="393"/>
      <c r="I17" s="393"/>
      <c r="J17" s="393"/>
      <c r="K17" s="393"/>
      <c r="L17" s="393"/>
      <c r="M17" s="393"/>
      <c r="N17" s="393"/>
      <c r="O17" s="393"/>
      <c r="P17" s="393"/>
      <c r="Q17" s="372"/>
      <c r="R17" s="372"/>
      <c r="S17" s="372"/>
      <c r="T17" s="372"/>
      <c r="U17" s="372"/>
    </row>
    <row r="18" spans="1:21" ht="14.25" customHeight="1">
      <c r="A18" s="365"/>
      <c r="B18" s="394" t="str">
        <f>Vertaling!B225</f>
      </c>
      <c r="C18" s="395">
        <f>SUM('Previsione di investimento'!D4:D10)</f>
      </c>
      <c r="D18" s="396"/>
      <c r="E18" s="396"/>
      <c r="F18" s="396"/>
      <c r="G18" s="396"/>
      <c r="H18" s="396"/>
      <c r="I18" s="396"/>
      <c r="J18" s="396"/>
      <c r="K18" s="396"/>
      <c r="L18" s="396"/>
      <c r="M18" s="396"/>
      <c r="N18" s="396"/>
      <c r="O18" s="396"/>
      <c r="P18" s="397">
        <f>SUM(C18:O18)</f>
      </c>
      <c r="Q18" s="372"/>
      <c r="R18" s="372"/>
      <c r="S18" s="372"/>
      <c r="T18" s="372"/>
      <c r="U18" s="372"/>
    </row>
    <row r="19" spans="1:21" ht="14.25" customHeight="1">
      <c r="A19" s="365"/>
      <c r="B19" s="394" t="str">
        <f>Vertaling!B226</f>
      </c>
      <c r="C19" s="395">
        <f>IF('Le mie risposte'!D104=dropdowns!$B$75,0,'Le mie risposte'!F104)</f>
      </c>
      <c r="D19" s="395">
        <f>IF(D$3=D$3+dropdowns!$G$7,'Le mie risposte'!$D$175,0)</f>
      </c>
      <c r="E19" s="395">
        <f>IF(E$3=D$3+dropdowns!$G$7,'Le mie risposte'!$D$175,IF(E$3=E$3+dropdowns!$G$7,'Le mie risposte'!$D$177,0))</f>
      </c>
      <c r="F19" s="395">
        <f>IF(F$3=D$3+dropdowns!$G$7,'Le mie risposte'!$D$175,IF(F$3=E$3+dropdowns!$G$7,'Le mie risposte'!$D$177,IF(F$3=F$3+dropdowns!$G$7,'Le mie risposte'!$D$179,0)))</f>
      </c>
      <c r="G19" s="395">
        <f>IF(G$3=E$3+dropdowns!$G$7,'Le mie risposte'!$D$177,IF(G$3=F$3+dropdowns!$G$7,'Le mie risposte'!$D$179,IF(G$3=G$3+dropdowns!$G$7,'Le mie risposte'!$D$181,0)))</f>
      </c>
      <c r="H19" s="395">
        <f>IF(H$3=F$3+dropdowns!$G$7,'Le mie risposte'!$D$179,IF(H$3=G$3+dropdowns!$G$7,'Le mie risposte'!$D$181,IF(H$3=H$3+dropdowns!$G$7,'Le mie risposte'!$D$183,0)))</f>
      </c>
      <c r="I19" s="395">
        <f>IF(I$3=G$3+dropdowns!$G$7,'Le mie risposte'!$D$181,IF(I$3=H$3+dropdowns!$G$7,'Le mie risposte'!$D$183,IF(I$3=I$3+dropdowns!$G$7,'Le mie risposte'!$D$185,0)))</f>
      </c>
      <c r="J19" s="395">
        <f>IF(J$3=H$3+dropdowns!$G$7,'Le mie risposte'!$D$183,IF(J$3=I$3+dropdowns!$G$7,'Le mie risposte'!$D$185,IF(J$3=J$3+dropdowns!$G$7,'Le mie risposte'!$D$187,0)))</f>
      </c>
      <c r="K19" s="395">
        <f>IF(K$3=I$3+dropdowns!$G$7,'Le mie risposte'!$D$185,IF(K$3=J$3+dropdowns!$G$7,'Le mie risposte'!$D$187,IF(K$3=K$3+dropdowns!$G$7,'Le mie risposte'!$D$189,0)))</f>
      </c>
      <c r="L19" s="395">
        <f>IF(L$3=J$3+dropdowns!$G$7,'Le mie risposte'!$D$187,IF(L$3=K$3+dropdowns!$G$7,'Le mie risposte'!$D$189,IF(L$3=L$3+dropdowns!$G$7,'Le mie risposte'!$D$191,0)))</f>
      </c>
      <c r="M19" s="395">
        <f>IF(M$3=K$3+dropdowns!$G$7,'Le mie risposte'!$D$189,IF(M$3=L$3+dropdowns!$G$7,'Le mie risposte'!$D$191,IF(M$3=M$3+dropdowns!$G$7,'Le mie risposte'!$D$193,0)))</f>
      </c>
      <c r="N19" s="395">
        <f>IF(N$3=L$3+dropdowns!$G$7,'Le mie risposte'!$D$191,IF(N$3=M$3+dropdowns!$G$7,'Le mie risposte'!$D$193,IF(N$3=N$3+dropdowns!$G$7,'Le mie risposte'!$D$195,0)))</f>
      </c>
      <c r="O19" s="395">
        <f>IF(O$3=M$3+dropdowns!$G$7,'Le mie risposte'!$D$193,IF(O$3=N$3+dropdowns!$G$7,'Le mie risposte'!$D$195,IF(O$3=O$3+dropdowns!$G$7,'Le mie risposte'!$D$197,0)))</f>
      </c>
      <c r="P19" s="397">
        <f>SUM(C19:O19)</f>
      </c>
      <c r="Q19" s="372"/>
      <c r="R19" s="372"/>
      <c r="S19" s="372"/>
      <c r="T19" s="372"/>
      <c r="U19" s="372"/>
    </row>
    <row r="20" spans="1:21" ht="14.25" customHeight="1">
      <c r="A20" s="365"/>
      <c r="B20" s="394" t="str">
        <f>Vertaling!B227</f>
      </c>
      <c r="C20" s="395">
        <f>IF('Le mie risposte'!D106=dropdowns!$B$75,0,'Le mie risposte'!F106)</f>
      </c>
      <c r="D20" s="395">
        <f>IF(D$3=D$3+dropdowns!$H$7,'Le mie risposte'!$F$175,0)</f>
      </c>
      <c r="E20" s="395">
        <f>IF(E$3=D$3+dropdowns!$H$7,'Le mie risposte'!$F$175,IF(E$3=E$3+dropdowns!$H$7,'Le mie risposte'!$F$177,0))</f>
      </c>
      <c r="F20" s="395">
        <f>IF(F$3=D$3+dropdowns!$H$7,'Le mie risposte'!$F$175,IF(F$3=E$3+dropdowns!$H$7,'Le mie risposte'!$F$177,IF(F$3=F$3+dropdowns!$H$7,'Le mie risposte'!$F$179,0)))</f>
      </c>
      <c r="G20" s="395">
        <f>IF(G$3=E$3+dropdowns!$H$7,'Le mie risposte'!$F$177,IF(G$3=F$3+dropdowns!$H$7,'Le mie risposte'!$F$179,IF(G$3=G$3+dropdowns!$H$7,'Le mie risposte'!$F$181,0)))</f>
      </c>
      <c r="H20" s="395">
        <f>IF(H$3=F$3+dropdowns!$H$7,'Le mie risposte'!$F$179,IF(H$3=G$3+dropdowns!$H$7,'Le mie risposte'!$F$181,IF(H$3=H$3+dropdowns!$H$7,'Le mie risposte'!$F$183,0)))</f>
      </c>
      <c r="I20" s="395">
        <f>IF(I$3=G$3+dropdowns!$H$7,'Le mie risposte'!$F$181,IF(I$3=H$3+dropdowns!$H$7,'Le mie risposte'!$F$183,IF(I$3=I$3+dropdowns!$H$7,'Le mie risposte'!$F$185,0)))</f>
      </c>
      <c r="J20" s="395">
        <f>IF(J$3=H$3+dropdowns!$H$7,'Le mie risposte'!$F$183,IF(J$3=I$3+dropdowns!$H$7,'Le mie risposte'!$F$185,IF(J$3=J$3+dropdowns!$H$7,'Le mie risposte'!$F$187,0)))</f>
      </c>
      <c r="K20" s="395">
        <f>IF(K$3=I$3+dropdowns!$H$7,'Le mie risposte'!$F$185,IF(K$3=J$3+dropdowns!$H$7,'Le mie risposte'!$F$187,IF(K$3=K$3+dropdowns!$H$7,'Le mie risposte'!$F$189,0)))</f>
      </c>
      <c r="L20" s="395">
        <f>IF(L$3=J$3+dropdowns!$H$7,'Le mie risposte'!$F$187,IF(L$3=K$3+dropdowns!$H$7,'Le mie risposte'!$F$189,IF(L$3=L$3+dropdowns!$H$7,'Le mie risposte'!$F$191,0)))</f>
      </c>
      <c r="M20" s="395">
        <f>IF(M$3=K$3+dropdowns!$H$7,'Le mie risposte'!$F$189,IF(M$3=L$3+dropdowns!$H$7,'Le mie risposte'!$F$191,IF(M$3=M$3+dropdowns!$H$7,'Le mie risposte'!$F$193,0)))</f>
      </c>
      <c r="N20" s="395">
        <f>IF(N$3=L$3+dropdowns!$H$7,'Le mie risposte'!$F$191,IF(N$3=M$3+dropdowns!$H$7,'Le mie risposte'!$F$193,IF(N$3=N$3+dropdowns!$H$7,'Le mie risposte'!$F$195,0)))</f>
      </c>
      <c r="O20" s="395">
        <f>IF(O$3=M$3+dropdowns!$H$7,'Le mie risposte'!$F$193,IF(O$3=N$3+dropdowns!$H$7,'Le mie risposte'!$F$195,IF(O$3=O$3+dropdowns!$H$7,'Le mie risposte'!$F$197,0)))</f>
      </c>
      <c r="P20" s="397">
        <f>SUM(C20:O20)</f>
      </c>
      <c r="Q20" s="372"/>
      <c r="R20" s="372"/>
      <c r="S20" s="372"/>
      <c r="T20" s="372"/>
      <c r="U20" s="372"/>
    </row>
    <row r="21" spans="1:21" ht="14.25" customHeight="1">
      <c r="A21" s="365"/>
      <c r="B21" s="394" t="str">
        <f>Vertaling!B228</f>
      </c>
      <c r="C21" s="395"/>
      <c r="D21" s="395">
        <f>(D19*'Le mie risposte'!$D$169)+(D20*'Le mie risposte'!$F$169)</f>
      </c>
      <c r="E21" s="395">
        <f>(E19*'Le mie risposte'!$D$169)+(E20*'Le mie risposte'!$F$169)</f>
      </c>
      <c r="F21" s="395">
        <f>(F19*'Le mie risposte'!$D$169)+(F20*'Le mie risposte'!$F$169)</f>
      </c>
      <c r="G21" s="395">
        <f>(G19*'Le mie risposte'!$D$169)+(G20*'Le mie risposte'!$F$169)</f>
      </c>
      <c r="H21" s="395">
        <f>(H19*'Le mie risposte'!$D$169)+(H20*'Le mie risposte'!$F$169)</f>
      </c>
      <c r="I21" s="395">
        <f>(I19*'Le mie risposte'!$D$169)+(I20*'Le mie risposte'!$F$169)</f>
      </c>
      <c r="J21" s="395">
        <f>(J19*'Le mie risposte'!$D$169)+(J20*'Le mie risposte'!$F$169)</f>
      </c>
      <c r="K21" s="395">
        <f>(K19*'Le mie risposte'!$D$169)+(K20*'Le mie risposte'!$F$169)</f>
      </c>
      <c r="L21" s="395">
        <f>(L19*'Le mie risposte'!$D$169)+(L20*'Le mie risposte'!$F$169)</f>
      </c>
      <c r="M21" s="395">
        <f>(M19*'Le mie risposte'!$D$169)+(M20*'Le mie risposte'!$F$169)</f>
      </c>
      <c r="N21" s="395">
        <f>(N19*'Le mie risposte'!$D$169)+(N20*'Le mie risposte'!$F$169)</f>
      </c>
      <c r="O21" s="395">
        <f>(O19*'Le mie risposte'!$D$169)+(O20*'Le mie risposte'!$F$169)</f>
      </c>
      <c r="P21" s="397">
        <f>SUM(C21:O21)</f>
      </c>
      <c r="Q21" s="372"/>
      <c r="R21" s="372"/>
      <c r="S21" s="372"/>
      <c r="T21" s="372"/>
      <c r="U21" s="372"/>
    </row>
    <row r="22" spans="1:21" ht="14.25" customHeight="1">
      <c r="A22" s="365"/>
      <c r="B22" s="394" t="str">
        <f>Vertaling!B229</f>
      </c>
      <c r="C22" s="396"/>
      <c r="D22" s="395">
        <f>IF(D$3&gt;=dropdowns!$G$153,'Le mie risposte'!$F142,0)</f>
      </c>
      <c r="E22" s="395">
        <f>IF(E$3&gt;=dropdowns!$G$153,'Le mie risposte'!$F142,0)</f>
      </c>
      <c r="F22" s="395">
        <f>IF(F$3&gt;=dropdowns!$G$153,'Le mie risposte'!$F142,0)</f>
      </c>
      <c r="G22" s="395">
        <f>IF(G$3&gt;=dropdowns!$G$153,'Le mie risposte'!$F142,0)</f>
      </c>
      <c r="H22" s="395">
        <f>IF(H$3&gt;=dropdowns!$G$153,'Le mie risposte'!$F142,0)</f>
      </c>
      <c r="I22" s="395">
        <f>IF(I$3&gt;=dropdowns!$G$153,'Le mie risposte'!$F142,0)</f>
      </c>
      <c r="J22" s="395">
        <f>IF(J$3&gt;=dropdowns!$G$153,'Le mie risposte'!$F142,0)</f>
      </c>
      <c r="K22" s="395">
        <f>IF(K$3&gt;=dropdowns!$G$153,'Le mie risposte'!$F142,0)</f>
      </c>
      <c r="L22" s="395">
        <f>IF(L$3&gt;=dropdowns!$G$153,'Le mie risposte'!$F142,0)</f>
      </c>
      <c r="M22" s="395">
        <f>IF(M$3&gt;=dropdowns!$G$153,'Le mie risposte'!$F142,0)</f>
      </c>
      <c r="N22" s="395">
        <f>IF(N$3&gt;=dropdowns!$G$153,'Le mie risposte'!$F142,0)</f>
      </c>
      <c r="O22" s="395">
        <f>IF(O$3&gt;=dropdowns!$G$153,'Le mie risposte'!$F142,0)</f>
      </c>
      <c r="P22" s="397">
        <f>SUM(D22:O22)</f>
      </c>
      <c r="Q22" s="372"/>
      <c r="R22" s="372"/>
      <c r="S22" s="398"/>
      <c r="T22" s="429"/>
      <c r="U22" s="429"/>
    </row>
    <row r="23" spans="1:21" ht="14.25" customHeight="1">
      <c r="A23" s="365"/>
      <c r="B23" s="394" t="str">
        <f>Vertaling!B230</f>
      </c>
      <c r="C23" s="396"/>
      <c r="D23" s="395">
        <f>IF(D$3&gt;=dropdowns!$G$154,'Le mie risposte'!$F146,0)</f>
      </c>
      <c r="E23" s="395">
        <f>IF(E$3&gt;=dropdowns!$G$154,'Le mie risposte'!$F146,0)</f>
      </c>
      <c r="F23" s="395">
        <f>IF(F$3&gt;=dropdowns!$G$154,'Le mie risposte'!$F146,0)</f>
      </c>
      <c r="G23" s="395">
        <f>IF(G$3&gt;=dropdowns!$G$154,'Le mie risposte'!$F146,0)</f>
      </c>
      <c r="H23" s="395">
        <f>IF(H$3&gt;=dropdowns!$G$154,'Le mie risposte'!$F146,0)</f>
      </c>
      <c r="I23" s="395">
        <f>IF(I$3&gt;=dropdowns!$G$154,'Le mie risposte'!$F146,0)</f>
      </c>
      <c r="J23" s="395">
        <f>IF(J$3&gt;=dropdowns!$G$154,'Le mie risposte'!$F146,0)</f>
      </c>
      <c r="K23" s="395">
        <f>IF(K$3&gt;=dropdowns!$G$154,'Le mie risposte'!$F146,0)</f>
      </c>
      <c r="L23" s="395">
        <f>IF(L$3&gt;=dropdowns!$G$154,'Le mie risposte'!$F146,0)</f>
      </c>
      <c r="M23" s="395">
        <f>IF(M$3&gt;=dropdowns!$G$154,'Le mie risposte'!$F146,0)</f>
      </c>
      <c r="N23" s="395">
        <f>IF(N$3&gt;=dropdowns!$G$154,'Le mie risposte'!$F146,0)</f>
      </c>
      <c r="O23" s="395">
        <f>IF(O$3&gt;=dropdowns!$G$154,'Le mie risposte'!$F146,0)</f>
      </c>
      <c r="P23" s="397">
        <f>SUM(D23:O23)</f>
      </c>
      <c r="Q23" s="372"/>
      <c r="R23" s="372"/>
      <c r="S23" s="399"/>
      <c r="T23" s="429"/>
      <c r="U23" s="429"/>
    </row>
    <row r="24" spans="1:21" ht="14.25" customHeight="1">
      <c r="A24" s="365"/>
      <c r="B24" s="394" t="str">
        <f>Vertaling!B231</f>
      </c>
      <c r="C24" s="396"/>
      <c r="D24" s="395">
        <f>IF(D$3&gt;='Le mie risposte'!$D150,'Le mie risposte'!$F150,0)</f>
      </c>
      <c r="E24" s="395">
        <f>IF(E$3&gt;='Le mie risposte'!$D150,'Le mie risposte'!$F150,0)</f>
      </c>
      <c r="F24" s="395">
        <f>IF(F$3&gt;='Le mie risposte'!$D150,'Le mie risposte'!$F150,0)</f>
      </c>
      <c r="G24" s="395">
        <f>IF(G$3&gt;='Le mie risposte'!$D150,'Le mie risposte'!$F150,0)</f>
      </c>
      <c r="H24" s="395">
        <f>IF(H$3&gt;='Le mie risposte'!$D150,'Le mie risposte'!$F150,0)</f>
      </c>
      <c r="I24" s="395">
        <f>IF(I$3&gt;='Le mie risposte'!$D150,'Le mie risposte'!$F150,0)</f>
      </c>
      <c r="J24" s="395">
        <f>IF(J$3&gt;='Le mie risposte'!$D150,'Le mie risposte'!$F150,0)</f>
      </c>
      <c r="K24" s="395">
        <f>IF(K$3&gt;='Le mie risposte'!$D150,'Le mie risposte'!$F150,0)</f>
      </c>
      <c r="L24" s="395">
        <f>IF(L$3&gt;='Le mie risposte'!$D150,'Le mie risposte'!$F150,0)</f>
      </c>
      <c r="M24" s="395">
        <f>IF(M$3&gt;='Le mie risposte'!$D150,'Le mie risposte'!$F150,0)</f>
      </c>
      <c r="N24" s="395">
        <f>IF(N$3&gt;='Le mie risposte'!$D150,'Le mie risposte'!$F150,0)</f>
      </c>
      <c r="O24" s="395">
        <f>IF(O$3&gt;='Le mie risposte'!$D150,'Le mie risposte'!$F150,0)</f>
      </c>
      <c r="P24" s="397">
        <f>SUM(D24:O24)</f>
      </c>
      <c r="Q24" s="372"/>
      <c r="R24" s="372"/>
      <c r="S24" s="399"/>
      <c r="T24" s="429"/>
      <c r="U24" s="429"/>
    </row>
    <row r="25" spans="1:21" ht="14.25" customHeight="1">
      <c r="A25" s="365"/>
      <c r="B25" s="394" t="str">
        <f>Vertaling!B232</f>
      </c>
      <c r="C25" s="395">
        <f>'Previsione di investimento'!D14</f>
      </c>
      <c r="D25" s="395">
        <f>IF(D$3&gt;='Le mie risposte'!$D152,'Le mie risposte'!$F152,0)</f>
      </c>
      <c r="E25" s="395">
        <f>IF(E$3&gt;='Le mie risposte'!$D152,'Le mie risposte'!$F152,0)</f>
      </c>
      <c r="F25" s="395">
        <f>IF(F$3&gt;='Le mie risposte'!$D152,'Le mie risposte'!$F152,0)</f>
      </c>
      <c r="G25" s="395">
        <f>IF(G$3&gt;='Le mie risposte'!$D152,'Le mie risposte'!$F152,0)</f>
      </c>
      <c r="H25" s="395">
        <f>IF(H$3&gt;='Le mie risposte'!$D152,'Le mie risposte'!$F152,0)</f>
      </c>
      <c r="I25" s="395">
        <f>IF(I$3&gt;='Le mie risposte'!$D152,'Le mie risposte'!$F152,0)</f>
      </c>
      <c r="J25" s="395">
        <f>IF(J$3&gt;='Le mie risposte'!$D152,'Le mie risposte'!$F152,0)</f>
      </c>
      <c r="K25" s="395">
        <f>IF(K$3&gt;='Le mie risposte'!$D152,'Le mie risposte'!$F152,0)</f>
      </c>
      <c r="L25" s="395">
        <f>IF(L$3&gt;='Le mie risposte'!$D152,'Le mie risposte'!$F152,0)</f>
      </c>
      <c r="M25" s="395">
        <f>IF(M$3&gt;='Le mie risposte'!$D152,'Le mie risposte'!$F152,0)</f>
      </c>
      <c r="N25" s="395">
        <f>IF(N$3&gt;='Le mie risposte'!$D152,'Le mie risposte'!$F152,0)</f>
      </c>
      <c r="O25" s="395">
        <f>IF(O$3&gt;='Le mie risposte'!$D152,'Le mie risposte'!$F152,0)</f>
      </c>
      <c r="P25" s="397">
        <f>SUM(C25:O25)</f>
      </c>
      <c r="Q25" s="372"/>
      <c r="R25" s="372"/>
      <c r="S25" s="398"/>
      <c r="T25" s="429"/>
      <c r="U25" s="429"/>
    </row>
    <row r="26" spans="1:21" ht="14.25" customHeight="1">
      <c r="A26" s="365"/>
      <c r="B26" s="394" t="str">
        <f>Vertaling!B233</f>
      </c>
      <c r="C26" s="396"/>
      <c r="D26" s="395">
        <f>IF(D$3&gt;='Le mie risposte'!$D153,'Le mie risposte'!$F153,0)</f>
      </c>
      <c r="E26" s="395">
        <f>IF(E$3&gt;='Le mie risposte'!$D153,'Le mie risposte'!$F153,0)</f>
      </c>
      <c r="F26" s="395">
        <f>IF(F$3&gt;='Le mie risposte'!$D153,'Le mie risposte'!$F153,0)</f>
      </c>
      <c r="G26" s="395">
        <f>IF(G$3&gt;='Le mie risposte'!$D153,'Le mie risposte'!$F153,0)</f>
      </c>
      <c r="H26" s="395">
        <f>IF(H$3&gt;='Le mie risposte'!$D153,'Le mie risposte'!$F153,0)</f>
      </c>
      <c r="I26" s="395">
        <f>IF(I$3&gt;='Le mie risposte'!$D153,'Le mie risposte'!$F153,0)</f>
      </c>
      <c r="J26" s="395">
        <f>IF(J$3&gt;='Le mie risposte'!$D153,'Le mie risposte'!$F153,0)</f>
      </c>
      <c r="K26" s="395">
        <f>IF(K$3&gt;='Le mie risposte'!$D153,'Le mie risposte'!$F153,0)</f>
      </c>
      <c r="L26" s="395">
        <f>IF(L$3&gt;='Le mie risposte'!$D153,'Le mie risposte'!$F153,0)</f>
      </c>
      <c r="M26" s="395">
        <f>IF(M$3&gt;='Le mie risposte'!$D153,'Le mie risposte'!$F153,0)</f>
      </c>
      <c r="N26" s="395">
        <f>IF(N$3&gt;='Le mie risposte'!$D153,'Le mie risposte'!$F153,0)</f>
      </c>
      <c r="O26" s="395">
        <f>IF(O$3&gt;='Le mie risposte'!$D153,'Le mie risposte'!$F153,0)</f>
      </c>
      <c r="P26" s="397">
        <f>SUM(C26:O26)</f>
      </c>
      <c r="Q26" s="372"/>
      <c r="R26" s="372"/>
      <c r="S26" s="398"/>
      <c r="T26" s="429"/>
      <c r="U26" s="429"/>
    </row>
    <row r="27" spans="1:21" ht="14.25" customHeight="1">
      <c r="A27" s="365"/>
      <c r="B27" s="394" t="str">
        <f>Vertaling!B234</f>
      </c>
      <c r="C27" s="395">
        <f>'Previsione di investimento'!D15</f>
      </c>
      <c r="D27" s="395">
        <f>(D23+D24+D25+D26)*IF('Le mie risposte'!$D$251&gt;0,'Le mie risposte'!$D$251,IF('Le mie risposte'!$F$251&gt;0,'Le mie risposte'!$F$251,0))</f>
      </c>
      <c r="E27" s="395">
        <f>(E23+E24+E25+E26)*IF('Le mie risposte'!$D$251&gt;0,'Le mie risposte'!$D$251,IF('Le mie risposte'!$F$251&gt;0,'Le mie risposte'!$F$251,0))</f>
      </c>
      <c r="F27" s="395">
        <f>(F23+F24+F25+F26)*IF('Le mie risposte'!$D$251&gt;0,'Le mie risposte'!$D$251,IF('Le mie risposte'!$F$251&gt;0,'Le mie risposte'!$F$251,0))</f>
      </c>
      <c r="G27" s="395">
        <f>(G23+G24+G25+G26)*IF('Le mie risposte'!$D$251&gt;0,'Le mie risposte'!$D$251,IF('Le mie risposte'!$F$251&gt;0,'Le mie risposte'!$F$251,0))</f>
      </c>
      <c r="H27" s="395">
        <f>(H23+H24+H25+H26)*IF('Le mie risposte'!$D$251&gt;0,'Le mie risposte'!$D$251,IF('Le mie risposte'!$F$251&gt;0,'Le mie risposte'!$F$251,0))</f>
      </c>
      <c r="I27" s="395">
        <f>(I23+I24+I25+I26)*IF('Le mie risposte'!$D$251&gt;0,'Le mie risposte'!$D$251,IF('Le mie risposte'!$F$251&gt;0,'Le mie risposte'!$F$251,0))</f>
      </c>
      <c r="J27" s="395">
        <f>(J23+J24+J25+J26)*IF('Le mie risposte'!$D$251&gt;0,'Le mie risposte'!$D$251,IF('Le mie risposte'!$F$251&gt;0,'Le mie risposte'!$F$251,0))</f>
      </c>
      <c r="K27" s="395">
        <f>(K23+K24+K25+K26)*IF('Le mie risposte'!$D$251&gt;0,'Le mie risposte'!$D$251,IF('Le mie risposte'!$F$251&gt;0,'Le mie risposte'!$F$251,0))</f>
      </c>
      <c r="L27" s="395">
        <f>(L23+L24+L25+L26)*IF('Le mie risposte'!$D$251&gt;0,'Le mie risposte'!$D$251,IF('Le mie risposte'!$F$251&gt;0,'Le mie risposte'!$F$251,0))</f>
      </c>
      <c r="M27" s="395">
        <f>(M23+M24+M25+M26)*IF('Le mie risposte'!$D$251&gt;0,'Le mie risposte'!$D$251,IF('Le mie risposte'!$F$251&gt;0,'Le mie risposte'!$F$251,0))</f>
      </c>
      <c r="N27" s="395">
        <f>(N23+N24+N25+N26)*IF('Le mie risposte'!$D$251&gt;0,'Le mie risposte'!$D$251,IF('Le mie risposte'!$F$251&gt;0,'Le mie risposte'!$F$251,0))</f>
      </c>
      <c r="O27" s="395">
        <f>(O23+O24+O25+O26)*IF('Le mie risposte'!$D$251&gt;0,'Le mie risposte'!$D$251,IF('Le mie risposte'!$F$251&gt;0,'Le mie risposte'!$F$251,0))</f>
      </c>
      <c r="P27" s="397">
        <f>SUM(C27:O27)</f>
      </c>
      <c r="Q27" s="372"/>
      <c r="R27" s="372"/>
      <c r="S27" s="372"/>
      <c r="T27" s="372"/>
      <c r="U27" s="372"/>
    </row>
    <row r="28" spans="1:21" ht="14.25" customHeight="1">
      <c r="A28" s="365"/>
      <c r="B28" s="394" t="str">
        <f>Vertaling!B235</f>
      </c>
      <c r="C28" s="396"/>
      <c r="D28" s="396">
        <f t="shared" ref="D28:O28" si="3">D13-D21-D27</f>
      </c>
      <c r="E28" s="396">
        <f t="shared" si="3"/>
      </c>
      <c r="F28" s="396">
        <f t="shared" si="3"/>
      </c>
      <c r="G28" s="396">
        <f t="shared" si="3"/>
      </c>
      <c r="H28" s="396">
        <f t="shared" si="3"/>
      </c>
      <c r="I28" s="396">
        <f t="shared" si="3"/>
      </c>
      <c r="J28" s="396">
        <f t="shared" si="3"/>
      </c>
      <c r="K28" s="396">
        <f t="shared" si="3"/>
      </c>
      <c r="L28" s="396">
        <f t="shared" si="3"/>
      </c>
      <c r="M28" s="396">
        <f t="shared" si="3"/>
      </c>
      <c r="N28" s="396">
        <f t="shared" si="3"/>
      </c>
      <c r="O28" s="396">
        <f t="shared" si="3"/>
      </c>
      <c r="P28" s="397">
        <f>SUM(D28:O28)</f>
      </c>
      <c r="Q28" s="372"/>
      <c r="R28" s="372"/>
      <c r="S28" s="372"/>
      <c r="T28" s="372"/>
      <c r="U28" s="372"/>
    </row>
    <row r="29" spans="1:21" ht="14.25" customHeight="1">
      <c r="A29" s="365"/>
      <c r="B29" s="394" t="str">
        <f>'Previsione di investimento'!H23</f>
      </c>
      <c r="C29" s="395">
        <f>'Previsione di investimento'!I23</f>
      </c>
      <c r="D29" s="396"/>
      <c r="E29" s="396"/>
      <c r="F29" s="396"/>
      <c r="G29" s="396"/>
      <c r="H29" s="396"/>
      <c r="I29" s="396"/>
      <c r="J29" s="396"/>
      <c r="K29" s="396"/>
      <c r="L29" s="396"/>
      <c r="M29" s="396"/>
      <c r="N29" s="396"/>
      <c r="O29" s="396"/>
      <c r="P29" s="397"/>
      <c r="Q29" s="372"/>
      <c r="R29" s="372"/>
      <c r="S29" s="372"/>
      <c r="T29" s="372"/>
      <c r="U29" s="372"/>
    </row>
    <row r="30" spans="1:21" ht="14.25" customHeight="1">
      <c r="A30" s="365"/>
      <c r="B30" s="394" t="str">
        <f>Vertaling!B236</f>
      </c>
      <c r="C30" s="396"/>
      <c r="D30" s="395">
        <f>'Le mie risposte'!$F$125+'Le mie risposte'!$F$133</f>
      </c>
      <c r="E30" s="395">
        <f>'Le mie risposte'!$F$125+'Le mie risposte'!$F$133</f>
      </c>
      <c r="F30" s="395">
        <f>'Le mie risposte'!$F$125+'Le mie risposte'!$F$133</f>
      </c>
      <c r="G30" s="395">
        <f>'Le mie risposte'!$F$125+'Le mie risposte'!$F$133</f>
      </c>
      <c r="H30" s="395">
        <f>'Le mie risposte'!$F$125+'Le mie risposte'!$F$133</f>
      </c>
      <c r="I30" s="395">
        <f>'Le mie risposte'!$F$125+'Le mie risposte'!$F$133</f>
      </c>
      <c r="J30" s="395">
        <f>'Le mie risposte'!$F$125+'Le mie risposte'!$F$133</f>
      </c>
      <c r="K30" s="395">
        <f>'Le mie risposte'!$F$125+'Le mie risposte'!$F$133</f>
      </c>
      <c r="L30" s="395">
        <f>'Le mie risposte'!$F$125+'Le mie risposte'!$F$133</f>
      </c>
      <c r="M30" s="395">
        <f>'Le mie risposte'!$F$125+'Le mie risposte'!$F$133</f>
      </c>
      <c r="N30" s="395">
        <f>'Le mie risposte'!$F$125+'Le mie risposte'!$F$133</f>
      </c>
      <c r="O30" s="395">
        <f>'Le mie risposte'!$F$125+'Le mie risposte'!$F$133</f>
      </c>
      <c r="P30" s="397">
        <f>SUM(D30:O30)</f>
      </c>
      <c r="Q30" s="372"/>
      <c r="R30" s="372"/>
      <c r="S30" s="372"/>
      <c r="T30" s="372"/>
      <c r="U30" s="372"/>
    </row>
    <row r="31" spans="1:21" ht="14.25" customHeight="1">
      <c r="A31" s="365"/>
      <c r="B31" s="394" t="str">
        <f>Vertaling!B237</f>
      </c>
      <c r="C31" s="396"/>
      <c r="D31" s="395">
        <f>IF(AND(D3&gt;=dropdowns!$G$155,D3&lt;dropdowns!$G$155+'Le mie risposte'!$G$129),'Le mie risposte'!$F$127,0)+IF(AND(D3&gt;=dropdowns!$G$156,D3&lt;dropdowns!$G$156+'Le mie risposte'!$G$137),'Le mie risposte'!$F$135,0)</f>
      </c>
      <c r="E31" s="395">
        <f>IF(AND(E3&gt;=dropdowns!$G$155,E3&lt;dropdowns!$G$155+'Le mie risposte'!$G$129),'Le mie risposte'!$F$127,0)+IF(AND(E3&gt;=dropdowns!$G$156,E3&lt;dropdowns!$G$156+'Le mie risposte'!$G$137),'Le mie risposte'!$F$135,0)</f>
      </c>
      <c r="F31" s="395">
        <f>IF(AND(F3&gt;=dropdowns!$G$155,F3&lt;dropdowns!$G$155+'Le mie risposte'!$G$129),'Le mie risposte'!$F$127,0)+IF(AND(F3&gt;=dropdowns!$G$156,F3&lt;dropdowns!$G$156+'Le mie risposte'!$G$137),'Le mie risposte'!$F$135,0)</f>
      </c>
      <c r="G31" s="395">
        <f>IF(AND(G3&gt;=dropdowns!$G$155,G3&lt;dropdowns!$G$155+'Le mie risposte'!$G$129),'Le mie risposte'!$F$127,0)+IF(AND(G3&gt;=dropdowns!$G$156,G3&lt;dropdowns!$G$156+'Le mie risposte'!$G$137),'Le mie risposte'!$F$135,0)</f>
      </c>
      <c r="H31" s="395">
        <f>IF(AND(H3&gt;=dropdowns!$G$155,H3&lt;dropdowns!$G$155+'Le mie risposte'!$G$129),'Le mie risposte'!$F$127,0)+IF(AND(H3&gt;=dropdowns!$G$156,H3&lt;dropdowns!$G$156+'Le mie risposte'!$G$137),'Le mie risposte'!$F$135,0)</f>
      </c>
      <c r="I31" s="395">
        <f>IF(AND(I3&gt;=dropdowns!$G$155,I3&lt;dropdowns!$G$155+'Le mie risposte'!$G$129),'Le mie risposte'!$F$127,0)+IF(AND(I3&gt;=dropdowns!$G$156,I3&lt;dropdowns!$G$156+'Le mie risposte'!$G$137),'Le mie risposte'!$F$135,0)</f>
      </c>
      <c r="J31" s="395">
        <f>IF(AND(J3&gt;=dropdowns!$G$155,J3&lt;dropdowns!$G$155+'Le mie risposte'!$G$129),'Le mie risposte'!$F$127,0)+IF(AND(J3&gt;=dropdowns!$G$156,J3&lt;dropdowns!$G$156+'Le mie risposte'!$G$137),'Le mie risposte'!$F$135,0)</f>
      </c>
      <c r="K31" s="395">
        <f>IF(AND(K3&gt;=dropdowns!$G$155,K3&lt;dropdowns!$G$155+'Le mie risposte'!$G$129),'Le mie risposte'!$F$127,0)+IF(AND(K3&gt;=dropdowns!$G$156,K3&lt;dropdowns!$G$156+'Le mie risposte'!$G$137),'Le mie risposte'!$F$135,0)</f>
      </c>
      <c r="L31" s="395">
        <f>IF(AND(L3&gt;=dropdowns!$G$155,L3&lt;dropdowns!$G$155+'Le mie risposte'!$G$129),'Le mie risposte'!$F$127,0)+IF(AND(L3&gt;=dropdowns!$G$156,L3&lt;dropdowns!$G$156+'Le mie risposte'!$G$137),'Le mie risposte'!$F$135,0)</f>
      </c>
      <c r="M31" s="395">
        <f>IF(AND(M3&gt;=dropdowns!$G$155,M3&lt;dropdowns!$G$155+'Le mie risposte'!$G$129),'Le mie risposte'!$F$127,0)+IF(AND(M3&gt;=dropdowns!$G$156,M3&lt;dropdowns!$G$156+'Le mie risposte'!$G$137),'Le mie risposte'!$F$135,0)</f>
      </c>
      <c r="N31" s="395">
        <f>IF(AND(N3&gt;=dropdowns!$G$155,N3&lt;dropdowns!$G$155+'Le mie risposte'!$G$129),'Le mie risposte'!$F$127,0)+IF(AND(N3&gt;=dropdowns!$G$156,N3&lt;dropdowns!$G$156+'Le mie risposte'!$G$137),'Le mie risposte'!$F$135,0)</f>
      </c>
      <c r="O31" s="395">
        <f>IF(AND(O3&gt;=dropdowns!$G$155,O3&lt;dropdowns!$G$155+'Le mie risposte'!$G$129),'Le mie risposte'!$F$127,0)+IF(AND(O3&gt;=dropdowns!$G$156,O3&lt;dropdowns!$G$156+'Le mie risposte'!$G$137),'Le mie risposte'!$F$135,0)</f>
      </c>
      <c r="P31" s="397">
        <f>SUM(D31:O31)</f>
      </c>
      <c r="Q31" s="372"/>
      <c r="R31" s="372"/>
      <c r="S31" s="372"/>
      <c r="T31" s="372"/>
      <c r="U31" s="372"/>
    </row>
    <row r="32" spans="1:21" ht="14.25" customHeight="1">
      <c r="A32" s="365"/>
      <c r="B32" s="394" t="str">
        <f>Vertaling!B238</f>
      </c>
      <c r="C32" s="396"/>
      <c r="D32" s="395">
        <f>'Oneri mensili'!C17</f>
      </c>
      <c r="E32" s="395">
        <f>'Oneri mensili'!D17</f>
      </c>
      <c r="F32" s="395">
        <f>'Oneri mensili'!E17</f>
      </c>
      <c r="G32" s="395">
        <f>'Oneri mensili'!F17</f>
      </c>
      <c r="H32" s="395">
        <f>'Oneri mensili'!G17</f>
      </c>
      <c r="I32" s="395">
        <f>'Oneri mensili'!H17</f>
      </c>
      <c r="J32" s="395">
        <f>'Oneri mensili'!I17</f>
      </c>
      <c r="K32" s="395">
        <f>'Oneri mensili'!J17</f>
      </c>
      <c r="L32" s="395">
        <f>'Oneri mensili'!K17</f>
      </c>
      <c r="M32" s="395">
        <f>'Oneri mensili'!L17</f>
      </c>
      <c r="N32" s="395">
        <f>'Oneri mensili'!M17</f>
      </c>
      <c r="O32" s="395">
        <f>'Oneri mensili'!N17</f>
      </c>
      <c r="P32" s="397">
        <f>SUM(D32:O32)</f>
      </c>
      <c r="Q32" s="372"/>
      <c r="R32" s="372"/>
      <c r="S32" s="372"/>
      <c r="T32" s="372"/>
      <c r="U32" s="372"/>
    </row>
    <row r="33" spans="1:21" ht="14.25" customHeight="1">
      <c r="A33" s="365"/>
      <c r="B33" s="394" t="str">
        <f>Vertaling!B239</f>
      </c>
      <c r="C33" s="396"/>
      <c r="D33" s="395">
        <f>'Oneri mensili'!C18</f>
      </c>
      <c r="E33" s="395">
        <f>'Oneri mensili'!D18</f>
      </c>
      <c r="F33" s="395">
        <f>'Oneri mensili'!E18</f>
      </c>
      <c r="G33" s="395">
        <f>'Oneri mensili'!F18</f>
      </c>
      <c r="H33" s="395">
        <f>'Oneri mensili'!G18</f>
      </c>
      <c r="I33" s="395">
        <f>'Oneri mensili'!H18</f>
      </c>
      <c r="J33" s="395">
        <f>'Oneri mensili'!I18</f>
      </c>
      <c r="K33" s="395">
        <f>'Oneri mensili'!J18</f>
      </c>
      <c r="L33" s="395">
        <f>'Oneri mensili'!K18</f>
      </c>
      <c r="M33" s="395">
        <f>'Oneri mensili'!L18</f>
      </c>
      <c r="N33" s="395">
        <f>'Oneri mensili'!M18</f>
      </c>
      <c r="O33" s="395">
        <f>'Oneri mensili'!N18</f>
      </c>
      <c r="P33" s="397">
        <f>SUM(D33:O33)</f>
      </c>
      <c r="Q33" s="372"/>
      <c r="R33" s="372"/>
      <c r="S33" s="372"/>
      <c r="T33" s="372"/>
      <c r="U33" s="372"/>
    </row>
    <row r="34" spans="1:21" ht="14.25" customHeight="1">
      <c r="A34" s="365"/>
      <c r="B34" s="384" t="s">
        <v>1858</v>
      </c>
      <c r="C34" s="396"/>
      <c r="D34" s="395">
        <f>$P$34/12</f>
      </c>
      <c r="E34" s="395">
        <f t="shared" ref="E34:O34" si="4">$P$34/12</f>
      </c>
      <c r="F34" s="395">
        <f t="shared" si="4"/>
      </c>
      <c r="G34" s="395">
        <f t="shared" si="4"/>
      </c>
      <c r="H34" s="395">
        <f t="shared" si="4"/>
      </c>
      <c r="I34" s="395">
        <f t="shared" si="4"/>
      </c>
      <c r="J34" s="395">
        <f t="shared" si="4"/>
      </c>
      <c r="K34" s="395">
        <f t="shared" si="4"/>
      </c>
      <c r="L34" s="395">
        <f t="shared" si="4"/>
      </c>
      <c r="M34" s="395">
        <f t="shared" si="4"/>
      </c>
      <c r="N34" s="395">
        <f t="shared" si="4"/>
      </c>
      <c r="O34" s="395">
        <f t="shared" si="4"/>
      </c>
      <c r="P34" s="397">
        <f>'Previsione di gestione'!C33</f>
      </c>
      <c r="Q34" s="372"/>
      <c r="R34" s="372"/>
      <c r="S34" s="372"/>
      <c r="T34" s="372"/>
      <c r="U34" s="372"/>
    </row>
    <row r="35" spans="1:21" ht="14.25" customHeight="1">
      <c r="A35" s="365"/>
      <c r="B35" s="400" t="str">
        <f>'Le mie risposte'!$D$13</f>
      </c>
      <c r="C35" s="386"/>
      <c r="D35" s="386"/>
      <c r="E35" s="386"/>
      <c r="F35" s="386"/>
      <c r="G35" s="386"/>
      <c r="H35" s="386"/>
      <c r="I35" s="386"/>
      <c r="J35" s="386"/>
      <c r="K35" s="386"/>
      <c r="L35" s="386"/>
      <c r="M35" s="386"/>
      <c r="N35" s="386"/>
      <c r="O35" s="386"/>
      <c r="P35" s="387"/>
      <c r="Q35" s="372"/>
      <c r="R35" s="372"/>
      <c r="S35" s="372"/>
      <c r="T35" s="372"/>
      <c r="U35" s="372"/>
    </row>
    <row r="36" spans="1:21" ht="14.25" customHeight="1">
      <c r="A36" s="365"/>
      <c r="B36" s="384" t="str">
        <f>Vertaling!$B$241</f>
      </c>
      <c r="C36" s="386"/>
      <c r="D36" s="385">
        <f t="shared" ref="D36:O36" si="5">$P$36/12</f>
      </c>
      <c r="E36" s="385">
        <f t="shared" si="5"/>
      </c>
      <c r="F36" s="385">
        <f t="shared" si="5"/>
      </c>
      <c r="G36" s="385">
        <f t="shared" si="5"/>
      </c>
      <c r="H36" s="385">
        <f t="shared" si="5"/>
      </c>
      <c r="I36" s="385">
        <f t="shared" si="5"/>
      </c>
      <c r="J36" s="385">
        <f t="shared" si="5"/>
      </c>
      <c r="K36" s="385">
        <f t="shared" si="5"/>
      </c>
      <c r="L36" s="385">
        <f t="shared" si="5"/>
      </c>
      <c r="M36" s="385">
        <f t="shared" si="5"/>
      </c>
      <c r="N36" s="385">
        <f t="shared" si="5"/>
      </c>
      <c r="O36" s="385">
        <f t="shared" si="5"/>
      </c>
      <c r="P36" s="387">
        <f>IF('Le mie risposte'!D7="impresa individuale",0,IF('Le mie risposte'!D7="Società di persone",'Previsione di gestione'!C38,IF('Le mie risposte'!D7="società di capitali",0,0)))</f>
      </c>
      <c r="Q36" s="372"/>
      <c r="R36" s="373"/>
      <c r="S36" s="398"/>
      <c r="T36" s="372"/>
      <c r="U36" s="372"/>
    </row>
    <row r="37" spans="1:21" ht="14.25" customHeight="1">
      <c r="A37" s="365"/>
      <c r="B37" s="400" t="str">
        <f>'Le mie risposte'!$F$13</f>
      </c>
      <c r="C37" s="386"/>
      <c r="D37" s="386"/>
      <c r="E37" s="386"/>
      <c r="F37" s="386"/>
      <c r="G37" s="386"/>
      <c r="H37" s="386"/>
      <c r="I37" s="386"/>
      <c r="J37" s="386"/>
      <c r="K37" s="386"/>
      <c r="L37" s="386"/>
      <c r="M37" s="386"/>
      <c r="N37" s="386"/>
      <c r="O37" s="386"/>
      <c r="P37" s="387"/>
      <c r="Q37" s="372"/>
      <c r="R37" s="372"/>
      <c r="S37" s="398"/>
      <c r="T37" s="372"/>
      <c r="U37" s="372"/>
    </row>
    <row r="38" spans="1:21" ht="14.25" customHeight="1">
      <c r="A38" s="365"/>
      <c r="B38" s="384" t="str">
        <f>Vertaling!$B$241</f>
      </c>
      <c r="C38" s="386"/>
      <c r="D38" s="385">
        <f t="shared" ref="D38:O38" si="6">$P$38/12</f>
      </c>
      <c r="E38" s="385">
        <f t="shared" si="6"/>
      </c>
      <c r="F38" s="385">
        <f t="shared" si="6"/>
      </c>
      <c r="G38" s="385">
        <f t="shared" si="6"/>
      </c>
      <c r="H38" s="385">
        <f t="shared" si="6"/>
      </c>
      <c r="I38" s="385">
        <f t="shared" si="6"/>
      </c>
      <c r="J38" s="385">
        <f t="shared" si="6"/>
      </c>
      <c r="K38" s="385">
        <f t="shared" si="6"/>
      </c>
      <c r="L38" s="385">
        <f t="shared" si="6"/>
      </c>
      <c r="M38" s="385">
        <f t="shared" si="6"/>
      </c>
      <c r="N38" s="385">
        <f t="shared" si="6"/>
      </c>
      <c r="O38" s="385">
        <f t="shared" si="6"/>
      </c>
      <c r="P38" s="387">
        <f>IF('Le mie risposte'!D7="impresa individuale",'Previsione di gestione'!C43,IF('Le mie risposte'!D7="Società di persone",'Previsione di gestione'!C43,IF('Le mie risposte'!D7="società di capitali",0,0)))+'Previsione di gestione'!C33</f>
      </c>
      <c r="Q38" s="372"/>
      <c r="R38" s="372"/>
      <c r="S38" s="398"/>
      <c r="T38" s="372"/>
      <c r="U38" s="372"/>
    </row>
    <row r="39" spans="1:21" ht="14.25" customHeight="1">
      <c r="A39" s="365"/>
      <c r="B39" s="384"/>
      <c r="C39" s="384"/>
      <c r="D39" s="384"/>
      <c r="E39" s="384"/>
      <c r="F39" s="384"/>
      <c r="G39" s="384"/>
      <c r="H39" s="384"/>
      <c r="I39" s="384"/>
      <c r="J39" s="384"/>
      <c r="K39" s="384"/>
      <c r="L39" s="384"/>
      <c r="M39" s="384"/>
      <c r="N39" s="384"/>
      <c r="O39" s="384"/>
      <c r="P39" s="387"/>
      <c r="Q39" s="372"/>
      <c r="R39" s="372"/>
      <c r="S39" s="398"/>
      <c r="T39" s="372"/>
      <c r="U39" s="372"/>
    </row>
    <row r="40" spans="1:21" ht="14.25" customHeight="1">
      <c r="A40" s="365"/>
      <c r="B40" s="389" t="str">
        <f>Vertaling!B242</f>
      </c>
      <c r="C40" s="390">
        <f>SUM(C18:C38)</f>
      </c>
      <c r="D40" s="390">
        <f>SUM(D18:D38)-IF('Le mie risposte'!$D$17="",SUM('Previsione di liquidità'!D35:D36),0)</f>
      </c>
      <c r="E40" s="390">
        <f>SUM(E18:E38)-IF('Le mie risposte'!$D$17="",SUM('Previsione di liquidità'!E35:E36),0)</f>
      </c>
      <c r="F40" s="390">
        <f>SUM(F18:F38)-IF('Le mie risposte'!$D$17="",SUM('Previsione di liquidità'!F35:F36),0)</f>
      </c>
      <c r="G40" s="390">
        <f>SUM(G18:G38)-IF('Le mie risposte'!$D$17="",SUM('Previsione di liquidità'!G35:G36),0)</f>
      </c>
      <c r="H40" s="390">
        <f>SUM(H18:H38)-IF('Le mie risposte'!$D$17="",SUM('Previsione di liquidità'!H35:H36),0)</f>
      </c>
      <c r="I40" s="390">
        <f>SUM(I18:I38)-IF('Le mie risposte'!$D$17="",SUM('Previsione di liquidità'!I35:I36),0)</f>
      </c>
      <c r="J40" s="390">
        <f>SUM(J18:J38)-IF('Le mie risposte'!$D$17="",SUM('Previsione di liquidità'!J35:J36),0)</f>
      </c>
      <c r="K40" s="390">
        <f>SUM(K18:K38)-IF('Le mie risposte'!$D$17="",SUM('Previsione di liquidità'!K35:K36),0)</f>
      </c>
      <c r="L40" s="390">
        <f>SUM(L18:L38)-IF('Le mie risposte'!$D$17="",SUM('Previsione di liquidità'!L35:L36),0)</f>
      </c>
      <c r="M40" s="390">
        <f>SUM(M18:M38)-IF('Le mie risposte'!$D$17="",SUM('Previsione di liquidità'!M35:M36),0)</f>
      </c>
      <c r="N40" s="390">
        <f>SUM(N18:N38)-IF('Le mie risposte'!$D$17="",SUM('Previsione di liquidità'!N35:N36),0)</f>
      </c>
      <c r="O40" s="390">
        <f>SUM(O18:O38)-IF('Le mie risposte'!$D$17="",SUM('Previsione di liquidità'!O35:O36),0)</f>
      </c>
      <c r="P40" s="391">
        <f>SUM(C40:O40)</f>
      </c>
      <c r="Q40" s="372"/>
      <c r="R40" s="372"/>
      <c r="S40" s="372"/>
      <c r="T40" s="372"/>
      <c r="U40" s="372"/>
    </row>
    <row r="41" spans="1:21" ht="14.25" customHeight="1">
      <c r="A41" s="365"/>
      <c r="B41" s="396"/>
      <c r="C41" s="396"/>
      <c r="D41" s="396"/>
      <c r="E41" s="396"/>
      <c r="F41" s="396"/>
      <c r="G41" s="396"/>
      <c r="H41" s="396"/>
      <c r="I41" s="396"/>
      <c r="J41" s="396"/>
      <c r="K41" s="396"/>
      <c r="L41" s="396"/>
      <c r="M41" s="396"/>
      <c r="N41" s="396"/>
      <c r="O41" s="396"/>
      <c r="P41" s="396"/>
      <c r="Q41" s="372"/>
      <c r="R41" s="372"/>
      <c r="S41" s="372"/>
      <c r="T41" s="372"/>
      <c r="U41" s="372"/>
    </row>
    <row r="42" spans="1:21" ht="14.25" customHeight="1">
      <c r="A42" s="365"/>
      <c r="B42" s="389" t="str">
        <f>Vertaling!B243</f>
      </c>
      <c r="C42" s="401">
        <f t="shared" ref="C42:O42" si="7">C15-C40</f>
      </c>
      <c r="D42" s="401">
        <f t="shared" si="7"/>
      </c>
      <c r="E42" s="401">
        <f t="shared" si="7"/>
      </c>
      <c r="F42" s="401">
        <f t="shared" si="7"/>
      </c>
      <c r="G42" s="401">
        <f t="shared" si="7"/>
      </c>
      <c r="H42" s="401">
        <f t="shared" si="7"/>
      </c>
      <c r="I42" s="401">
        <f t="shared" si="7"/>
      </c>
      <c r="J42" s="401">
        <f t="shared" si="7"/>
      </c>
      <c r="K42" s="401">
        <f t="shared" si="7"/>
      </c>
      <c r="L42" s="401">
        <f t="shared" si="7"/>
      </c>
      <c r="M42" s="401">
        <f t="shared" si="7"/>
      </c>
      <c r="N42" s="401">
        <f t="shared" si="7"/>
      </c>
      <c r="O42" s="401">
        <f t="shared" si="7"/>
      </c>
      <c r="P42" s="391"/>
      <c r="Q42" s="372"/>
      <c r="R42" s="372"/>
      <c r="S42" s="372"/>
      <c r="T42" s="372"/>
      <c r="U42" s="372"/>
    </row>
    <row r="43" spans="1:21" ht="14.25" customHeight="1">
      <c r="A43" s="365"/>
      <c r="B43" s="396"/>
      <c r="C43" s="396"/>
      <c r="D43" s="396"/>
      <c r="E43" s="396"/>
      <c r="F43" s="396"/>
      <c r="G43" s="396"/>
      <c r="H43" s="396"/>
      <c r="I43" s="396"/>
      <c r="J43" s="396"/>
      <c r="K43" s="396"/>
      <c r="L43" s="396"/>
      <c r="M43" s="396"/>
      <c r="N43" s="396"/>
      <c r="O43" s="396"/>
      <c r="P43" s="396"/>
      <c r="Q43" s="372"/>
      <c r="R43" s="372"/>
      <c r="S43" s="372"/>
      <c r="T43" s="372"/>
      <c r="U43" s="372"/>
    </row>
    <row r="44" spans="1:21" ht="14.25" customHeight="1">
      <c r="A44" s="365"/>
      <c r="B44" s="389" t="str">
        <f>Vertaling!B244</f>
      </c>
      <c r="C44" s="401">
        <f t="shared" ref="C44:O44" si="8">C5+C42</f>
      </c>
      <c r="D44" s="401">
        <f t="shared" si="8"/>
      </c>
      <c r="E44" s="401">
        <f t="shared" si="8"/>
      </c>
      <c r="F44" s="401">
        <f t="shared" si="8"/>
      </c>
      <c r="G44" s="401">
        <f t="shared" si="8"/>
      </c>
      <c r="H44" s="401">
        <f t="shared" si="8"/>
      </c>
      <c r="I44" s="401">
        <f t="shared" si="8"/>
      </c>
      <c r="J44" s="401">
        <f t="shared" si="8"/>
      </c>
      <c r="K44" s="401">
        <f t="shared" si="8"/>
      </c>
      <c r="L44" s="401">
        <f t="shared" si="8"/>
      </c>
      <c r="M44" s="401">
        <f t="shared" si="8"/>
      </c>
      <c r="N44" s="401">
        <f t="shared" si="8"/>
      </c>
      <c r="O44" s="401">
        <f t="shared" si="8"/>
      </c>
      <c r="P44" s="391"/>
      <c r="Q44" s="372"/>
      <c r="R44" s="372"/>
      <c r="S44" s="372"/>
      <c r="T44" s="372"/>
      <c r="U44" s="372"/>
    </row>
    <row r="45" spans="1:21" ht="14.25" customHeight="1">
      <c r="A45" s="365"/>
      <c r="B45" s="372"/>
      <c r="C45" s="372"/>
      <c r="D45" s="372"/>
      <c r="E45" s="372"/>
      <c r="F45" s="372"/>
      <c r="G45" s="372"/>
      <c r="H45" s="372"/>
      <c r="I45" s="372"/>
      <c r="J45" s="372"/>
      <c r="K45" s="372"/>
      <c r="L45" s="372"/>
      <c r="M45" s="372"/>
      <c r="N45" s="372"/>
      <c r="O45" s="372"/>
      <c r="P45" s="372"/>
      <c r="Q45" s="372"/>
      <c r="R45" s="372"/>
      <c r="S45" s="372"/>
      <c r="T45" s="372"/>
      <c r="U45" s="372"/>
    </row>
    <row r="46" spans="1:21" ht="14.25" customHeight="1">
      <c r="A46" s="365"/>
      <c r="B46" s="372"/>
      <c r="C46" s="372"/>
      <c r="D46" s="372"/>
      <c r="E46" s="372"/>
      <c r="F46" s="372"/>
      <c r="G46" s="372"/>
      <c r="H46" s="372"/>
      <c r="I46" s="372"/>
      <c r="J46" s="372"/>
      <c r="K46" s="372"/>
      <c r="L46" s="372"/>
      <c r="M46" s="372"/>
      <c r="N46" s="372"/>
      <c r="O46" s="372"/>
      <c r="P46" s="372"/>
      <c r="Q46" s="372"/>
      <c r="R46" s="372"/>
      <c r="S46" s="372"/>
      <c r="T46" s="372"/>
      <c r="U46" s="372"/>
    </row>
    <row r="47" spans="1:21" ht="14.25" customHeight="1">
      <c r="A47" s="365"/>
      <c r="B47" s="370" t="str">
        <f>B3</f>
      </c>
      <c r="C47" s="371"/>
      <c r="D47" s="371">
        <v>13</v>
      </c>
      <c r="E47" s="371">
        <v>14</v>
      </c>
      <c r="F47" s="371">
        <v>15</v>
      </c>
      <c r="G47" s="371">
        <v>16</v>
      </c>
      <c r="H47" s="371">
        <v>17</v>
      </c>
      <c r="I47" s="371">
        <v>18</v>
      </c>
      <c r="J47" s="371">
        <v>19</v>
      </c>
      <c r="K47" s="371">
        <v>20</v>
      </c>
      <c r="L47" s="371">
        <v>21</v>
      </c>
      <c r="M47" s="371">
        <v>22</v>
      </c>
      <c r="N47" s="371">
        <v>23</v>
      </c>
      <c r="O47" s="371">
        <v>24</v>
      </c>
      <c r="P47" s="371" t="s">
        <v>27</v>
      </c>
      <c r="Q47" s="372"/>
      <c r="R47" s="372"/>
      <c r="S47" s="372"/>
      <c r="T47" s="372"/>
      <c r="U47" s="372"/>
    </row>
    <row r="48" spans="1:21" ht="14.25" customHeight="1">
      <c r="A48" s="365"/>
      <c r="B48" s="372"/>
      <c r="C48" s="372"/>
      <c r="D48" s="374"/>
      <c r="E48" s="374"/>
      <c r="F48" s="374"/>
      <c r="G48" s="374"/>
      <c r="H48" s="374"/>
      <c r="I48" s="374"/>
      <c r="J48" s="374"/>
      <c r="K48" s="374"/>
      <c r="L48" s="374"/>
      <c r="M48" s="374"/>
      <c r="N48" s="374"/>
      <c r="O48" s="374"/>
      <c r="P48" s="374"/>
      <c r="Q48" s="372"/>
      <c r="R48" s="372"/>
      <c r="S48" s="372"/>
      <c r="T48" s="372"/>
      <c r="U48" s="372"/>
    </row>
    <row r="49" spans="1:21" ht="14.25" customHeight="1">
      <c r="A49" s="365"/>
      <c r="B49" s="375" t="str">
        <f>B5</f>
      </c>
      <c r="C49" s="376"/>
      <c r="D49" s="376">
        <f>O44</f>
      </c>
      <c r="E49" s="376">
        <f>D87</f>
      </c>
      <c r="F49" s="376">
        <f t="shared" ref="F49:O49" si="9">E87</f>
      </c>
      <c r="G49" s="376">
        <f t="shared" si="9"/>
      </c>
      <c r="H49" s="376">
        <f t="shared" si="9"/>
      </c>
      <c r="I49" s="376">
        <f t="shared" si="9"/>
      </c>
      <c r="J49" s="376">
        <f t="shared" si="9"/>
      </c>
      <c r="K49" s="376">
        <f t="shared" si="9"/>
      </c>
      <c r="L49" s="376">
        <f t="shared" si="9"/>
      </c>
      <c r="M49" s="376">
        <f t="shared" si="9"/>
      </c>
      <c r="N49" s="376">
        <f t="shared" si="9"/>
      </c>
      <c r="O49" s="376">
        <f t="shared" si="9"/>
      </c>
      <c r="P49" s="377"/>
      <c r="Q49" s="372"/>
      <c r="R49" s="402"/>
      <c r="S49" s="372"/>
      <c r="T49" s="372"/>
      <c r="U49" s="372"/>
    </row>
    <row r="50" spans="1:21" ht="14.25" customHeight="1">
      <c r="A50" s="365"/>
      <c r="B50" s="379"/>
      <c r="C50" s="379"/>
      <c r="D50" s="379"/>
      <c r="E50" s="379"/>
      <c r="F50" s="379"/>
      <c r="G50" s="379"/>
      <c r="H50" s="379"/>
      <c r="I50" s="379"/>
      <c r="J50" s="379"/>
      <c r="K50" s="379"/>
      <c r="L50" s="379"/>
      <c r="M50" s="379"/>
      <c r="N50" s="379"/>
      <c r="O50" s="379"/>
      <c r="P50" s="379"/>
      <c r="Q50" s="372"/>
      <c r="R50" s="372"/>
      <c r="S50" s="372"/>
      <c r="T50" s="372"/>
      <c r="U50" s="372"/>
    </row>
    <row r="51" spans="1:21" ht="14.25" customHeight="1">
      <c r="A51" s="365"/>
      <c r="B51" s="380" t="str">
        <f t="shared" ref="B51:B59" si="10">B7</f>
      </c>
      <c r="C51" s="381"/>
      <c r="D51" s="381"/>
      <c r="E51" s="381"/>
      <c r="F51" s="381"/>
      <c r="G51" s="381"/>
      <c r="H51" s="381"/>
      <c r="I51" s="381"/>
      <c r="J51" s="381"/>
      <c r="K51" s="381"/>
      <c r="L51" s="381"/>
      <c r="M51" s="381"/>
      <c r="N51" s="381"/>
      <c r="O51" s="381"/>
      <c r="P51" s="382"/>
      <c r="Q51" s="372"/>
      <c r="R51" s="372"/>
      <c r="S51" s="372"/>
      <c r="T51" s="372"/>
      <c r="U51" s="372"/>
    </row>
    <row r="52" spans="1:21" ht="14.25" hidden="1" customHeight="1">
      <c r="A52" s="383"/>
      <c r="B52" s="403" t="str">
        <f t="shared" si="10"/>
      </c>
      <c r="C52" s="404"/>
      <c r="D52" s="405"/>
      <c r="E52" s="405"/>
      <c r="F52" s="405"/>
      <c r="G52" s="405"/>
      <c r="H52" s="405"/>
      <c r="I52" s="405"/>
      <c r="J52" s="405"/>
      <c r="K52" s="405"/>
      <c r="L52" s="405"/>
      <c r="M52" s="405"/>
      <c r="N52" s="405"/>
      <c r="O52" s="405"/>
      <c r="P52" s="406">
        <f>SUM(C52:O52)</f>
      </c>
      <c r="Q52" s="372"/>
      <c r="R52" s="372"/>
      <c r="S52" s="372"/>
      <c r="T52" s="372"/>
      <c r="U52" s="372"/>
    </row>
    <row r="53" spans="1:21" ht="14.25" hidden="1" customHeight="1">
      <c r="A53" s="365"/>
      <c r="B53" s="403" t="str">
        <f t="shared" si="10"/>
      </c>
      <c r="C53" s="404"/>
      <c r="D53" s="405"/>
      <c r="E53" s="405"/>
      <c r="F53" s="405"/>
      <c r="G53" s="405"/>
      <c r="H53" s="405"/>
      <c r="I53" s="405"/>
      <c r="J53" s="405"/>
      <c r="K53" s="405"/>
      <c r="L53" s="405"/>
      <c r="M53" s="405"/>
      <c r="N53" s="405"/>
      <c r="O53" s="405"/>
      <c r="P53" s="406">
        <f>SUM(C53:O53)</f>
      </c>
      <c r="Q53" s="372"/>
      <c r="R53" s="372"/>
      <c r="S53" s="372"/>
      <c r="T53" s="372"/>
      <c r="U53" s="372"/>
    </row>
    <row r="54" spans="1:21" ht="14.25" hidden="1" customHeight="1">
      <c r="A54" s="365"/>
      <c r="B54" s="403" t="str">
        <f t="shared" si="10"/>
      </c>
      <c r="C54" s="404"/>
      <c r="D54" s="405"/>
      <c r="E54" s="405"/>
      <c r="F54" s="405"/>
      <c r="G54" s="405"/>
      <c r="H54" s="405"/>
      <c r="I54" s="405"/>
      <c r="J54" s="405"/>
      <c r="K54" s="405"/>
      <c r="L54" s="405"/>
      <c r="M54" s="405"/>
      <c r="N54" s="405"/>
      <c r="O54" s="405"/>
      <c r="P54" s="406">
        <f>SUM(C54:O54)</f>
      </c>
      <c r="Q54" s="372"/>
      <c r="R54" s="372"/>
      <c r="S54" s="372"/>
      <c r="T54" s="372"/>
      <c r="U54" s="372"/>
    </row>
    <row r="55" spans="1:21" ht="14.25" customHeight="1">
      <c r="A55" s="365"/>
      <c r="B55" s="384" t="str">
        <f t="shared" si="10"/>
      </c>
      <c r="C55" s="386"/>
      <c r="D55" s="385">
        <f>IF(D$47=N$3+dropdowns!$G$6,'Le mie risposte'!$D277*1,IF(D$47=O$3+dropdowns!$G$6,'Le mie risposte'!$D279*1,IF(D$47=D$47+dropdowns!$G$6,'Le mie risposte'!$D281*1,0)))</f>
      </c>
      <c r="E55" s="385">
        <f>IF(E$47=O$3+dropdowns!$G$6,'Le mie risposte'!$D279*1,IF(E$47=D$47+dropdowns!$G$6,'Le mie risposte'!$D281*1,IF(E$48=E$48+dropdowns!$G$6,'Le mie risposte'!$D283*1,0)))</f>
      </c>
      <c r="F55" s="385">
        <f>IF(F$47=D$47+dropdowns!$G$6,'Le mie risposte'!$D281*1,IF(F$47=E$47+dropdowns!$G$6,'Le mie risposte'!$D283*1,IF(F$48=F$48+dropdowns!$G$6,'Le mie risposte'!$D285*1,0)))</f>
      </c>
      <c r="G55" s="385">
        <f>IF(G$47=E$47+dropdowns!$G$6,'Le mie risposte'!$D283*1,IF(G$47=F$47+dropdowns!$G$6,'Le mie risposte'!$D285*1,IF(G$48=G$48+dropdowns!$G$6,'Le mie risposte'!$D287*1,0)))</f>
      </c>
      <c r="H55" s="385">
        <f>IF(H$47=F$47+dropdowns!$G$6,'Le mie risposte'!$D285*1,IF(H$47=G$47+dropdowns!$G$6,'Le mie risposte'!$D287*1,IF(H$48=H$48+dropdowns!$G$6,'Le mie risposte'!$D289*1,0)))</f>
      </c>
      <c r="I55" s="385">
        <f>IF(I$47=G$47+dropdowns!$G$6,'Le mie risposte'!$D287*1,IF(I$47=H$47+dropdowns!$G$6,'Le mie risposte'!$D289*1,IF(I$48=I$48+dropdowns!$G$6,'Le mie risposte'!$D291*1,0)))</f>
      </c>
      <c r="J55" s="385">
        <f>IF(J$47=H$47+dropdowns!$G$6,'Le mie risposte'!$D289*1,IF(J$47=I$47+dropdowns!$G$6,'Le mie risposte'!$D291*1,IF(J$48=J$48+dropdowns!$G$6,'Le mie risposte'!$D293*1,0)))</f>
      </c>
      <c r="K55" s="385">
        <f>IF(K$47=I$47+dropdowns!$G$6,'Le mie risposte'!$D291*1,IF(K$47=J$47+dropdowns!$G$6,'Le mie risposte'!$D293*1,IF(K$48=K$48+dropdowns!$G$6,'Le mie risposte'!$D295*1,0)))</f>
      </c>
      <c r="L55" s="385">
        <f>IF(L$47=J$47+dropdowns!$G$6,'Le mie risposte'!$D293*1,IF(L$47=K$47+dropdowns!$G$6,'Le mie risposte'!$D295*1,IF(L$48=L$48+dropdowns!$G$6,'Le mie risposte'!$D297*1,0)))</f>
      </c>
      <c r="M55" s="385">
        <f>IF(M$47=K$47+dropdowns!$G$6,'Le mie risposte'!$D295*1,IF(M$47=L$47+dropdowns!$G$6,'Le mie risposte'!$D297*1,IF(M$48=M$48+dropdowns!$G$6,'Le mie risposte'!$D299*1,0)))</f>
      </c>
      <c r="N55" s="385">
        <f>IF(N$47=L$47+dropdowns!$G$6,'Le mie risposte'!$D297*1,IF(N$47=M$47+dropdowns!$G$6,'Le mie risposte'!$D299*1,IF(N$48=N$48+dropdowns!$G$6,'Le mie risposte'!$D301*1,0)))</f>
      </c>
      <c r="O55" s="385">
        <f>IF(O$47=M$47+dropdowns!$G$6,'Le mie risposte'!$D299*1,IF(O$47=N$47+dropdowns!$G$6,'Le mie risposte'!$D301*1,IF(O$48=O$48+dropdowns!$G$6,'Le mie risposte'!$D303*1,0)))</f>
      </c>
      <c r="P55" s="387">
        <f>SUM(D55:O55)</f>
      </c>
      <c r="Q55" s="372"/>
      <c r="R55" s="372"/>
      <c r="S55" s="372"/>
      <c r="T55" s="372"/>
      <c r="U55" s="372"/>
    </row>
    <row r="56" spans="1:21" ht="14.25" customHeight="1">
      <c r="A56" s="365"/>
      <c r="B56" s="384" t="str">
        <f t="shared" si="10"/>
      </c>
      <c r="C56" s="386"/>
      <c r="D56" s="385">
        <f>IF(D$47=N$3+dropdowns!$H$6,'Le mie risposte'!$F277*1,IF(D$47=O$3+dropdowns!$H$6,'Le mie risposte'!$F279*1,IF(D$47=D$47+dropdowns!$H$6,'Le mie risposte'!$F281*1,0)))</f>
      </c>
      <c r="E56" s="385">
        <f>IF(E$47=O$3+dropdowns!$H$6,'Le mie risposte'!$F279*1,IF(E$47=D$47+dropdowns!$H$6,'Le mie risposte'!$F281*1,IF(E$47=E$47+dropdowns!$H$6,'Le mie risposte'!$F283*1,0)))</f>
      </c>
      <c r="F56" s="385">
        <f>IF(F$47=D$47+dropdowns!$H$6,'Le mie risposte'!$F281*1,IF(F$47=E$47+dropdowns!$H$6,'Le mie risposte'!$F283*1,IF(F$47=F$47+dropdowns!$H$6,'Le mie risposte'!$F285*1,0)))</f>
      </c>
      <c r="G56" s="385">
        <f>IF(G$47=E$47+dropdowns!$H$6,'Le mie risposte'!$F283*1,IF(G$47=F$47+dropdowns!$H$6,'Le mie risposte'!$F285*1,IF(G$47=G$47+dropdowns!$H$6,'Le mie risposte'!$F287*1,0)))</f>
      </c>
      <c r="H56" s="385">
        <f>IF(H$47=F$47+dropdowns!$H$6,'Le mie risposte'!$F285*1,IF(H$47=G$47+dropdowns!$H$6,'Le mie risposte'!$F287*1,IF(H$47=H$47+dropdowns!$H$6,'Le mie risposte'!$F289*1,0)))</f>
      </c>
      <c r="I56" s="385">
        <f>IF(I$47=G$47+dropdowns!$H$6,'Le mie risposte'!$F287*1,IF(I$47=H$47+dropdowns!$H$6,'Le mie risposte'!$F289*1,IF(I$47=I$47+dropdowns!$H$6,'Le mie risposte'!$F291*1,0)))</f>
      </c>
      <c r="J56" s="385">
        <f>IF(J$47=H$47+dropdowns!$H$6,'Le mie risposte'!$F289*1,IF(J$47=I$47+dropdowns!$H$6,'Le mie risposte'!$F291*1,IF(J$47=J$47+dropdowns!$H$6,'Le mie risposte'!$F293*1,0)))</f>
      </c>
      <c r="K56" s="385">
        <f>IF(K$47=I$47+dropdowns!$H$6,'Le mie risposte'!$F291*1,IF(K$47=J$47+dropdowns!$H$6,'Le mie risposte'!$F293*1,IF(K$47=K$47+dropdowns!$H$6,'Le mie risposte'!$F295*1,0)))</f>
      </c>
      <c r="L56" s="385">
        <f>IF(L$47=J$47+dropdowns!$H$6,'Le mie risposte'!$F293*1,IF(L$47=K$47+dropdowns!$H$6,'Le mie risposte'!$F295*1,IF(L$47=L$47+dropdowns!$H$6,'Le mie risposte'!$F297*1,0)))</f>
      </c>
      <c r="M56" s="385">
        <f>IF(M$47=K$47+dropdowns!$H$6,'Le mie risposte'!$F295*1,IF(M$47=L$47+dropdowns!$H$6,'Le mie risposte'!$F297*1,IF(M$47=M$47+dropdowns!$H$6,'Le mie risposte'!$F299*1,0)))</f>
      </c>
      <c r="N56" s="385">
        <f>IF(N$47=L$47+dropdowns!$H$6,'Le mie risposte'!$F297*1,IF(N$47=M$47+dropdowns!$H$6,'Le mie risposte'!$F299*1,IF(N$47=N$47+dropdowns!$H$6,'Le mie risposte'!$F301*1,0)))</f>
      </c>
      <c r="O56" s="385">
        <f>IF(O$47=M$47+dropdowns!$H$6,'Le mie risposte'!$F299*1,IF(O$47=N$47+dropdowns!$H$6,'Le mie risposte'!$F301*1,IF(O$47=O$47+dropdowns!$H$6,'Le mie risposte'!$F303*1,0)))</f>
      </c>
      <c r="P56" s="387">
        <f>SUM(D56:O56)</f>
      </c>
      <c r="Q56" s="372"/>
      <c r="R56" s="372"/>
      <c r="S56" s="372"/>
      <c r="T56" s="372"/>
      <c r="U56" s="372"/>
    </row>
    <row r="57" spans="1:21" ht="14.25" customHeight="1">
      <c r="A57" s="365"/>
      <c r="B57" s="384" t="str">
        <f t="shared" si="10"/>
      </c>
      <c r="C57" s="386"/>
      <c r="D57" s="385">
        <f>D56*'Le mie risposte'!$F$251+D55*'Le mie risposte'!$D$251</f>
      </c>
      <c r="E57" s="385">
        <f>E56*'Le mie risposte'!$F$251+E55*'Le mie risposte'!$D$251</f>
      </c>
      <c r="F57" s="385">
        <f>F56*'Le mie risposte'!$F$251+F55*'Le mie risposte'!$D$251</f>
      </c>
      <c r="G57" s="385">
        <f>G56*'Le mie risposte'!$F$251+G55*'Le mie risposte'!$D$251</f>
      </c>
      <c r="H57" s="385">
        <f>H56*'Le mie risposte'!$F$251+H55*'Le mie risposte'!$D$251</f>
      </c>
      <c r="I57" s="385">
        <f>I56*'Le mie risposte'!$F$251+I55*'Le mie risposte'!$D$251</f>
      </c>
      <c r="J57" s="385">
        <f>J56*'Le mie risposte'!$F$251+J55*'Le mie risposte'!$D$251</f>
      </c>
      <c r="K57" s="385">
        <f>K56*'Le mie risposte'!$F$251+K55*'Le mie risposte'!$D$251</f>
      </c>
      <c r="L57" s="385">
        <f>L56*'Le mie risposte'!$F$251+L55*'Le mie risposte'!$D$251</f>
      </c>
      <c r="M57" s="385">
        <f>M56*'Le mie risposte'!$F$251+M55*'Le mie risposte'!$D$251</f>
      </c>
      <c r="N57" s="385">
        <f>N56*'Le mie risposte'!$F$251+N55*'Le mie risposte'!$D$251</f>
      </c>
      <c r="O57" s="385">
        <f>O56*'Le mie risposte'!$F$251+O55*'Le mie risposte'!$D$251</f>
      </c>
      <c r="P57" s="387">
        <f>SUM(D57:O57)</f>
      </c>
      <c r="Q57" s="372"/>
      <c r="R57" s="372"/>
      <c r="S57" s="372"/>
      <c r="T57" s="372"/>
      <c r="U57" s="372"/>
    </row>
    <row r="58" spans="1:21" ht="14.25" customHeight="1">
      <c r="A58" s="365"/>
      <c r="B58" s="384" t="str">
        <f t="shared" si="10"/>
      </c>
      <c r="C58" s="386"/>
      <c r="D58" s="385">
        <f t="shared" ref="D58:O58" si="11">SUM(D56:D57)</f>
      </c>
      <c r="E58" s="385">
        <f t="shared" si="11"/>
      </c>
      <c r="F58" s="385">
        <f t="shared" si="11"/>
      </c>
      <c r="G58" s="385">
        <f t="shared" si="11"/>
      </c>
      <c r="H58" s="385">
        <f t="shared" si="11"/>
      </c>
      <c r="I58" s="385">
        <f t="shared" si="11"/>
      </c>
      <c r="J58" s="385">
        <f t="shared" si="11"/>
      </c>
      <c r="K58" s="385">
        <f t="shared" si="11"/>
      </c>
      <c r="L58" s="385">
        <f t="shared" si="11"/>
      </c>
      <c r="M58" s="385">
        <f t="shared" si="11"/>
      </c>
      <c r="N58" s="385">
        <f t="shared" si="11"/>
      </c>
      <c r="O58" s="385">
        <f t="shared" si="11"/>
      </c>
      <c r="P58" s="387">
        <f>SUM(D58:O58)</f>
      </c>
      <c r="Q58" s="372"/>
      <c r="R58" s="372"/>
      <c r="S58" s="372"/>
      <c r="T58" s="372"/>
      <c r="U58" s="372"/>
    </row>
    <row r="59" spans="1:21">
      <c r="A59" s="365"/>
      <c r="B59" s="389" t="str">
        <f t="shared" si="10"/>
      </c>
      <c r="C59" s="390"/>
      <c r="D59" s="390">
        <f t="shared" ref="D59:O59" si="12">SUM(D52:D57)</f>
      </c>
      <c r="E59" s="390">
        <f t="shared" si="12"/>
      </c>
      <c r="F59" s="390">
        <f t="shared" si="12"/>
      </c>
      <c r="G59" s="390">
        <f t="shared" si="12"/>
      </c>
      <c r="H59" s="390">
        <f t="shared" si="12"/>
      </c>
      <c r="I59" s="390">
        <f t="shared" si="12"/>
      </c>
      <c r="J59" s="390">
        <f t="shared" si="12"/>
      </c>
      <c r="K59" s="390">
        <f t="shared" si="12"/>
      </c>
      <c r="L59" s="390">
        <f t="shared" si="12"/>
      </c>
      <c r="M59" s="390">
        <f t="shared" si="12"/>
      </c>
      <c r="N59" s="390">
        <f t="shared" si="12"/>
      </c>
      <c r="O59" s="390">
        <f t="shared" si="12"/>
      </c>
      <c r="P59" s="391">
        <f>SUM(C59:O59)</f>
      </c>
      <c r="Q59" s="372"/>
      <c r="R59" s="372"/>
      <c r="S59" s="372"/>
      <c r="T59" s="372"/>
      <c r="U59" s="372"/>
    </row>
    <row r="60" spans="1:21" ht="14.25" customHeight="1">
      <c r="A60" s="365"/>
      <c r="B60" s="379"/>
      <c r="C60" s="379"/>
      <c r="D60" s="379"/>
      <c r="E60" s="379"/>
      <c r="F60" s="379"/>
      <c r="G60" s="379"/>
      <c r="H60" s="379"/>
      <c r="I60" s="379"/>
      <c r="J60" s="379"/>
      <c r="K60" s="379"/>
      <c r="L60" s="379"/>
      <c r="M60" s="379"/>
      <c r="N60" s="379"/>
      <c r="O60" s="379"/>
      <c r="P60" s="379"/>
      <c r="Q60" s="372"/>
      <c r="R60" s="372"/>
      <c r="S60" s="372"/>
      <c r="T60" s="372"/>
      <c r="U60" s="372"/>
    </row>
    <row r="61" spans="1:21" ht="14.25" customHeight="1">
      <c r="A61" s="365"/>
      <c r="B61" s="392" t="str">
        <f t="shared" ref="B61:B72" si="13">B17</f>
      </c>
      <c r="C61" s="393"/>
      <c r="D61" s="393"/>
      <c r="E61" s="393"/>
      <c r="F61" s="393"/>
      <c r="G61" s="393"/>
      <c r="H61" s="393"/>
      <c r="I61" s="393"/>
      <c r="J61" s="393"/>
      <c r="K61" s="393"/>
      <c r="L61" s="393"/>
      <c r="M61" s="393"/>
      <c r="N61" s="393"/>
      <c r="O61" s="393"/>
      <c r="P61" s="393"/>
      <c r="Q61" s="372"/>
      <c r="R61" s="372"/>
      <c r="S61" s="372"/>
      <c r="T61" s="372"/>
      <c r="U61" s="372"/>
    </row>
    <row r="62" spans="1:21" ht="14.25" hidden="1" customHeight="1">
      <c r="A62" s="365"/>
      <c r="B62" s="403" t="str">
        <f t="shared" si="13"/>
      </c>
      <c r="C62" s="404"/>
      <c r="D62" s="405"/>
      <c r="E62" s="405"/>
      <c r="F62" s="405"/>
      <c r="G62" s="405"/>
      <c r="H62" s="405"/>
      <c r="I62" s="405"/>
      <c r="J62" s="405"/>
      <c r="K62" s="405"/>
      <c r="L62" s="405"/>
      <c r="M62" s="405"/>
      <c r="N62" s="405"/>
      <c r="O62" s="405"/>
      <c r="P62" s="406">
        <f>SUM(C62:O62)</f>
      </c>
      <c r="Q62" s="372"/>
      <c r="R62" s="372"/>
      <c r="S62" s="372"/>
      <c r="T62" s="372"/>
      <c r="U62" s="372"/>
    </row>
    <row r="63" spans="1:21" ht="14.25" customHeight="1">
      <c r="A63" s="365"/>
      <c r="B63" s="394" t="str">
        <f t="shared" si="13"/>
      </c>
      <c r="C63" s="395"/>
      <c r="D63" s="395">
        <f>IF(D$47=N$3+dropdowns!$G$7,'Le mie risposte'!$D$195,IF(D$47=O$3+dropdowns!$G$7,'Le mie risposte'!$D$197,IF(D$47=D$47+dropdowns!$G$7,'Le mie risposte'!$D$199,0)))</f>
      </c>
      <c r="E63" s="395">
        <f>IF(E$47=O$3+dropdowns!$G$7,'Le mie risposte'!$D$197,IF(E$47=D$47+dropdowns!$G$7,'Le mie risposte'!$D$199,IF(E$47=E$47+dropdowns!$G$7,'Le mie risposte'!$D$201,0)))</f>
      </c>
      <c r="F63" s="395">
        <f>IF(F$47=D$47+dropdowns!$G$7,'Le mie risposte'!$D$199,IF(F$47=E$47+dropdowns!$G$7,'Le mie risposte'!$D$201,IF(F$47=F$47+dropdowns!$G$7,'Le mie risposte'!$D$203,0)))</f>
      </c>
      <c r="G63" s="395">
        <f>IF(G$47=E$47+dropdowns!$G$7,'Le mie risposte'!$D$201,IF(G$47=F$47+dropdowns!$G$7,'Le mie risposte'!$D$203,IF(G$47=G$47+dropdowns!$G$7,'Le mie risposte'!$D$205,0)))</f>
      </c>
      <c r="H63" s="395">
        <f>IF(H$47=F$47+dropdowns!$G$7,'Le mie risposte'!$D$203,IF(H$47=G$47+dropdowns!$G$7,'Le mie risposte'!$D$205,IF(H$47=H$47+dropdowns!$G$7,'Le mie risposte'!$D$207,0)))</f>
      </c>
      <c r="I63" s="395">
        <f>IF(I$47=G$47+dropdowns!$G$7,'Le mie risposte'!$D$205,IF(I$47=H$47+dropdowns!$G$7,'Le mie risposte'!$D$207,IF(I$47=I$47+dropdowns!$G$7,'Le mie risposte'!$D$209,0)))</f>
      </c>
      <c r="J63" s="395">
        <f>IF(J$47=H$47+dropdowns!$G$7,'Le mie risposte'!$D$207,IF(J$47=I$47+dropdowns!$G$7,'Le mie risposte'!$D$209,IF(J$47=J$47+dropdowns!$G$7,'Le mie risposte'!$D$211,0)))</f>
      </c>
      <c r="K63" s="395">
        <f>IF(K$47=I$47+dropdowns!$G$7,'Le mie risposte'!$D$209,IF(K$47=J$47+dropdowns!$G$7,'Le mie risposte'!$D$211,IF(K$47=K$47+dropdowns!$G$7,'Le mie risposte'!$D$213,0)))</f>
      </c>
      <c r="L63" s="395">
        <f>IF(L$47=J$47+dropdowns!$G$7,'Le mie risposte'!$D$211,IF(L$47=K$47+dropdowns!$G$7,'Le mie risposte'!$D$213,IF(L$47=L$47+dropdowns!$G$7,'Le mie risposte'!$D$215,0)))</f>
      </c>
      <c r="M63" s="395">
        <f>IF(M$47=K$47+dropdowns!$G$7,'Le mie risposte'!$D$213,IF(M$47=L$47+dropdowns!$G$7,'Le mie risposte'!$D$215,IF(M$47=M$47+dropdowns!$G$7,'Le mie risposte'!$D$217,0)))</f>
      </c>
      <c r="N63" s="395">
        <f>IF(N$47=L$47+dropdowns!$G$7,'Le mie risposte'!$D$215,IF(N$47=M$47+dropdowns!$G$7,'Le mie risposte'!$D$217,IF(N$47=N$47+dropdowns!$G$7,'Le mie risposte'!$D$219,0)))</f>
      </c>
      <c r="O63" s="395">
        <f>IF(O$47=M$47+dropdowns!$G$7,'Le mie risposte'!$D$217,IF(O$47=N$47+dropdowns!$G$7,'Le mie risposte'!$D$219,IF(O$47=O$47+dropdowns!$G$7,'Le mie risposte'!$D$221,0)))</f>
      </c>
      <c r="P63" s="397">
        <f>SUM(C63:O63)</f>
      </c>
      <c r="Q63" s="372"/>
      <c r="R63" s="372"/>
      <c r="S63" s="372"/>
      <c r="T63" s="372"/>
      <c r="U63" s="372"/>
    </row>
    <row r="64" spans="1:21" ht="14.25" customHeight="1">
      <c r="A64" s="365"/>
      <c r="B64" s="394" t="str">
        <f t="shared" si="13"/>
      </c>
      <c r="C64" s="395"/>
      <c r="D64" s="395">
        <f>IF(D$47=N$3+dropdowns!$H$7,'Le mie risposte'!$F$195,IF(D$47=O$3+dropdowns!$H$7,'Le mie risposte'!$F$197,IF(D$47=D$47+dropdowns!$H$7,'Le mie risposte'!$F$199,0)))</f>
      </c>
      <c r="E64" s="395">
        <f>IF(E$47=O$3+dropdowns!$H$7,'Le mie risposte'!$F$197,IF(E$47=D$47+dropdowns!$H$7,'Le mie risposte'!$F$199,IF(E$47=E$47+dropdowns!$H$7,'Le mie risposte'!$F$201,0)))</f>
      </c>
      <c r="F64" s="395">
        <f>IF(F$47=D$47+dropdowns!$H$7,'Le mie risposte'!$F$199,IF(F$47=E$47+dropdowns!$H$7,'Le mie risposte'!$F$201,IF(F$47=F$47+dropdowns!$H$7,'Le mie risposte'!$F$203,0)))</f>
      </c>
      <c r="G64" s="395">
        <f>IF(G$47=E$47+dropdowns!$H$7,'Le mie risposte'!$F$201,IF(G$47=F$47+dropdowns!$H$7,'Le mie risposte'!$F$203,IF(G$47=G$47+dropdowns!$H$7,'Le mie risposte'!$F$205,0)))</f>
      </c>
      <c r="H64" s="395">
        <f>IF(H$47=F$47+dropdowns!$H$7,'Le mie risposte'!$F$203,IF(H$47=G$47+dropdowns!$H$7,'Le mie risposte'!$F$205,IF(H$47=H$47+dropdowns!$H$7,'Le mie risposte'!$F$207,0)))</f>
      </c>
      <c r="I64" s="395">
        <f>IF(I$47=G$47+dropdowns!$H$7,'Le mie risposte'!$F$205,IF(I$47=H$47+dropdowns!$H$7,'Le mie risposte'!$F$207,IF(I$47=I$47+dropdowns!$H$7,'Le mie risposte'!$F$209,0)))</f>
      </c>
      <c r="J64" s="395">
        <f>IF(J$47=H$47+dropdowns!$H$7,'Le mie risposte'!$F$207,IF(J$47=I$47+dropdowns!$H$7,'Le mie risposte'!$F$209,IF(J$47=J$47+dropdowns!$H$7,'Le mie risposte'!$F$211,0)))</f>
      </c>
      <c r="K64" s="395">
        <f>IF(K$47=I$47+dropdowns!$H$7,'Le mie risposte'!$F$209,IF(K$47=J$47+dropdowns!$H$7,'Le mie risposte'!$F$211,IF(K$47=K$47+dropdowns!$H$7,'Le mie risposte'!$F$213,0)))</f>
      </c>
      <c r="L64" s="395">
        <f>IF(L$47=J$47+dropdowns!$H$7,'Le mie risposte'!$F$211,IF(L$47=K$47+dropdowns!$H$7,'Le mie risposte'!$F$213,IF(L$47=L$47+dropdowns!$H$7,'Le mie risposte'!$F$215,0)))</f>
      </c>
      <c r="M64" s="395">
        <f>IF(M$47=K$47+dropdowns!$H$7,'Le mie risposte'!$F$213,IF(M$47=L$47+dropdowns!$H$7,'Le mie risposte'!$F$215,IF(M$47=M$47+dropdowns!$H$7,'Le mie risposte'!$F$217,0)))</f>
      </c>
      <c r="N64" s="395">
        <f>IF(N$47=L$47+dropdowns!$H$7,'Le mie risposte'!$F$215,IF(N$47=M$47+dropdowns!$H$7,'Le mie risposte'!$F$217,IF(N$47=N$47+dropdowns!$H$7,'Le mie risposte'!$F$219,0)))</f>
      </c>
      <c r="O64" s="395">
        <f>IF(O$47=M$47+dropdowns!$H$7,'Le mie risposte'!$F$217,IF(O$47=N$47+dropdowns!$H$7,'Le mie risposte'!$F$219,IF(O$47=O$47+dropdowns!$H$7,'Le mie risposte'!$F$221,0)))</f>
      </c>
      <c r="P64" s="397">
        <f>SUM(C64:O64)</f>
      </c>
      <c r="Q64" s="372"/>
      <c r="R64" s="372"/>
      <c r="S64" s="372"/>
      <c r="T64" s="372"/>
      <c r="U64" s="372"/>
    </row>
    <row r="65" spans="1:21" ht="14.25" customHeight="1">
      <c r="A65" s="365"/>
      <c r="B65" s="394" t="str">
        <f t="shared" si="13"/>
      </c>
      <c r="C65" s="395"/>
      <c r="D65" s="395">
        <f>(D63*IF('Le mie risposte'!$D$169="",0,'Le mie risposte'!$D$169))+(D64*IF('Le mie risposte'!$F$169="",0,'Le mie risposte'!$F$169))</f>
      </c>
      <c r="E65" s="395">
        <f>(E63*IF('Le mie risposte'!$D$169="",0,'Le mie risposte'!$D$169))+(E64*IF('Le mie risposte'!$F$169="",0,'Le mie risposte'!$F$169))</f>
      </c>
      <c r="F65" s="395">
        <f>(F63*IF('Le mie risposte'!$D$169="",0,'Le mie risposte'!$D$169))+(F64*IF('Le mie risposte'!$F$169="",0,'Le mie risposte'!$F$169))</f>
      </c>
      <c r="G65" s="395">
        <f>(G63*IF('Le mie risposte'!$D$169="",0,'Le mie risposte'!$D$169))+(G64*IF('Le mie risposte'!$F$169="",0,'Le mie risposte'!$F$169))</f>
      </c>
      <c r="H65" s="395">
        <f>(H63*IF('Le mie risposte'!$D$169="",0,'Le mie risposte'!$D$169))+(H64*IF('Le mie risposte'!$F$169="",0,'Le mie risposte'!$F$169))</f>
      </c>
      <c r="I65" s="395">
        <f>(I63*IF('Le mie risposte'!$D$169="",0,'Le mie risposte'!$D$169))+(I64*IF('Le mie risposte'!$F$169="",0,'Le mie risposte'!$F$169))</f>
      </c>
      <c r="J65" s="395">
        <f>(J63*IF('Le mie risposte'!$D$169="",0,'Le mie risposte'!$D$169))+(J64*IF('Le mie risposte'!$F$169="",0,'Le mie risposte'!$F$169))</f>
      </c>
      <c r="K65" s="395">
        <f>(K63*IF('Le mie risposte'!$D$169="",0,'Le mie risposte'!$D$169))+(K64*IF('Le mie risposte'!$F$169="",0,'Le mie risposte'!$F$169))</f>
      </c>
      <c r="L65" s="395">
        <f>(L63*IF('Le mie risposte'!$D$169="",0,'Le mie risposte'!$D$169))+(L64*IF('Le mie risposte'!$F$169="",0,'Le mie risposte'!$F$169))</f>
      </c>
      <c r="M65" s="395">
        <f>(M63*IF('Le mie risposte'!$D$169="",0,'Le mie risposte'!$D$169))+(M64*IF('Le mie risposte'!$F$169="",0,'Le mie risposte'!$F$169))</f>
      </c>
      <c r="N65" s="395">
        <f>(N63*IF('Le mie risposte'!$D$169="",0,'Le mie risposte'!$D$169))+(N64*IF('Le mie risposte'!$F$169="",0,'Le mie risposte'!$F$169))</f>
      </c>
      <c r="O65" s="395">
        <f>(O63*IF('Le mie risposte'!$D$169="",0,'Le mie risposte'!$D$169))+(O64*IF('Le mie risposte'!$F$169="",0,'Le mie risposte'!$F$169))</f>
      </c>
      <c r="P65" s="397">
        <f>SUM(C65:O65)</f>
      </c>
      <c r="Q65" s="372"/>
      <c r="R65" s="372"/>
      <c r="S65" s="372"/>
      <c r="T65" s="372"/>
      <c r="U65" s="372"/>
    </row>
    <row r="66" spans="1:21" ht="14.25" customHeight="1">
      <c r="A66" s="365"/>
      <c r="B66" s="394" t="str">
        <f t="shared" si="13"/>
      </c>
      <c r="C66" s="396"/>
      <c r="D66" s="363">
        <f>O22</f>
      </c>
      <c r="E66" s="363">
        <f t="shared" ref="E66:O66" si="14">D66</f>
      </c>
      <c r="F66" s="363">
        <f t="shared" si="14"/>
      </c>
      <c r="G66" s="363">
        <f t="shared" si="14"/>
      </c>
      <c r="H66" s="363">
        <f t="shared" si="14"/>
      </c>
      <c r="I66" s="363">
        <f t="shared" si="14"/>
      </c>
      <c r="J66" s="363">
        <f t="shared" si="14"/>
      </c>
      <c r="K66" s="363">
        <f t="shared" si="14"/>
      </c>
      <c r="L66" s="363">
        <f t="shared" si="14"/>
      </c>
      <c r="M66" s="363">
        <f t="shared" si="14"/>
      </c>
      <c r="N66" s="363">
        <f t="shared" si="14"/>
      </c>
      <c r="O66" s="363">
        <f t="shared" si="14"/>
      </c>
      <c r="P66" s="397">
        <f>SUM(D66:O66)</f>
      </c>
      <c r="Q66" s="372"/>
      <c r="R66" s="372"/>
      <c r="S66" s="398"/>
      <c r="T66" s="429"/>
      <c r="U66" s="429"/>
    </row>
    <row r="67" spans="1:21" ht="14.25" customHeight="1">
      <c r="A67" s="365"/>
      <c r="B67" s="394" t="str">
        <f t="shared" si="13"/>
      </c>
      <c r="C67" s="396"/>
      <c r="D67" s="363">
        <f>O23</f>
      </c>
      <c r="E67" s="363">
        <f t="shared" ref="E67:O67" si="15">D67</f>
      </c>
      <c r="F67" s="363">
        <f t="shared" si="15"/>
      </c>
      <c r="G67" s="363">
        <f t="shared" si="15"/>
      </c>
      <c r="H67" s="363">
        <f t="shared" si="15"/>
      </c>
      <c r="I67" s="363">
        <f t="shared" si="15"/>
      </c>
      <c r="J67" s="363">
        <f t="shared" si="15"/>
      </c>
      <c r="K67" s="363">
        <f t="shared" si="15"/>
      </c>
      <c r="L67" s="363">
        <f t="shared" si="15"/>
      </c>
      <c r="M67" s="363">
        <f t="shared" si="15"/>
      </c>
      <c r="N67" s="363">
        <f t="shared" si="15"/>
      </c>
      <c r="O67" s="363">
        <f t="shared" si="15"/>
      </c>
      <c r="P67" s="397">
        <f>SUM(D67:O67)</f>
      </c>
      <c r="Q67" s="372"/>
      <c r="R67" s="372"/>
      <c r="S67" s="399"/>
      <c r="T67" s="429"/>
      <c r="U67" s="429"/>
    </row>
    <row r="68" spans="1:21" ht="14.25" customHeight="1">
      <c r="A68" s="365"/>
      <c r="B68" s="394" t="str">
        <f t="shared" si="13"/>
      </c>
      <c r="C68" s="396"/>
      <c r="D68" s="363">
        <f>O24</f>
      </c>
      <c r="E68" s="363">
        <f t="shared" ref="E68:O68" si="16">D68</f>
      </c>
      <c r="F68" s="363">
        <f t="shared" si="16"/>
      </c>
      <c r="G68" s="363">
        <f t="shared" si="16"/>
      </c>
      <c r="H68" s="363">
        <f t="shared" si="16"/>
      </c>
      <c r="I68" s="363">
        <f t="shared" si="16"/>
      </c>
      <c r="J68" s="363">
        <f t="shared" si="16"/>
      </c>
      <c r="K68" s="363">
        <f t="shared" si="16"/>
      </c>
      <c r="L68" s="363">
        <f t="shared" si="16"/>
      </c>
      <c r="M68" s="363">
        <f t="shared" si="16"/>
      </c>
      <c r="N68" s="363">
        <f t="shared" si="16"/>
      </c>
      <c r="O68" s="363">
        <f t="shared" si="16"/>
      </c>
      <c r="P68" s="397">
        <f>SUM(D68:O68)</f>
      </c>
      <c r="Q68" s="372"/>
      <c r="R68" s="372"/>
      <c r="S68" s="399"/>
      <c r="T68" s="429"/>
      <c r="U68" s="429"/>
    </row>
    <row r="69" spans="1:21" ht="14.25" customHeight="1">
      <c r="A69" s="365"/>
      <c r="B69" s="394" t="str">
        <f t="shared" si="13"/>
      </c>
      <c r="C69" s="395"/>
      <c r="D69" s="363">
        <f>O25</f>
      </c>
      <c r="E69" s="363">
        <f t="shared" ref="E69:O69" si="17">D69</f>
      </c>
      <c r="F69" s="363">
        <f t="shared" si="17"/>
      </c>
      <c r="G69" s="363">
        <f t="shared" si="17"/>
      </c>
      <c r="H69" s="363">
        <f t="shared" si="17"/>
      </c>
      <c r="I69" s="363">
        <f t="shared" si="17"/>
      </c>
      <c r="J69" s="363">
        <f t="shared" si="17"/>
      </c>
      <c r="K69" s="363">
        <f t="shared" si="17"/>
      </c>
      <c r="L69" s="363">
        <f t="shared" si="17"/>
      </c>
      <c r="M69" s="363">
        <f t="shared" si="17"/>
      </c>
      <c r="N69" s="363">
        <f t="shared" si="17"/>
      </c>
      <c r="O69" s="363">
        <f t="shared" si="17"/>
      </c>
      <c r="P69" s="397">
        <f>SUM(C69:O69)</f>
      </c>
      <c r="Q69" s="372"/>
      <c r="R69" s="372"/>
      <c r="S69" s="398"/>
      <c r="T69" s="429"/>
      <c r="U69" s="429"/>
    </row>
    <row r="70" spans="1:21" ht="14.25" customHeight="1">
      <c r="A70" s="365"/>
      <c r="B70" s="394" t="str">
        <f t="shared" si="13"/>
      </c>
      <c r="C70" s="396"/>
      <c r="D70" s="363">
        <f>O26</f>
      </c>
      <c r="E70" s="363">
        <f t="shared" ref="E70:O70" si="18">D70</f>
      </c>
      <c r="F70" s="363">
        <f t="shared" si="18"/>
      </c>
      <c r="G70" s="363">
        <f t="shared" si="18"/>
      </c>
      <c r="H70" s="363">
        <f t="shared" si="18"/>
      </c>
      <c r="I70" s="363">
        <f t="shared" si="18"/>
      </c>
      <c r="J70" s="363">
        <f t="shared" si="18"/>
      </c>
      <c r="K70" s="363">
        <f t="shared" si="18"/>
      </c>
      <c r="L70" s="363">
        <f t="shared" si="18"/>
      </c>
      <c r="M70" s="363">
        <f t="shared" si="18"/>
      </c>
      <c r="N70" s="363">
        <f t="shared" si="18"/>
      </c>
      <c r="O70" s="363">
        <f t="shared" si="18"/>
      </c>
      <c r="P70" s="397">
        <f>SUM(C70:O70)</f>
      </c>
      <c r="Q70" s="372"/>
      <c r="R70" s="372"/>
      <c r="S70" s="398"/>
      <c r="T70" s="429"/>
      <c r="U70" s="429"/>
    </row>
    <row r="71" spans="1:21" ht="14.25" customHeight="1">
      <c r="A71" s="365"/>
      <c r="B71" s="394" t="str">
        <f t="shared" si="13"/>
      </c>
      <c r="C71" s="395"/>
      <c r="D71" s="363">
        <f>(D67+D68+D69+D70)*IF('Le mie risposte'!$D$251&gt;0,'Le mie risposte'!$D$251,IF('Le mie risposte'!$F$251&gt;0,'Le mie risposte'!$F$251,0))</f>
      </c>
      <c r="E71" s="363">
        <f>(E67+E68+E69+E70)*IF('Le mie risposte'!$D$251&gt;0,'Le mie risposte'!$D$251,IF('Le mie risposte'!$F$251&gt;0,'Le mie risposte'!$F$251,0))</f>
      </c>
      <c r="F71" s="363">
        <f>(F67+F68+F69+F70)*IF('Le mie risposte'!$D$251&gt;0,'Le mie risposte'!$D$251,IF('Le mie risposte'!$F$251&gt;0,'Le mie risposte'!$F$251,0))</f>
      </c>
      <c r="G71" s="363">
        <f>(G67+G68+G69+G70)*IF('Le mie risposte'!$D$251&gt;0,'Le mie risposte'!$D$251,IF('Le mie risposte'!$F$251&gt;0,'Le mie risposte'!$F$251,0))</f>
      </c>
      <c r="H71" s="363">
        <f>(H67+H68+H69+H70)*IF('Le mie risposte'!$D$251&gt;0,'Le mie risposte'!$D$251,IF('Le mie risposte'!$F$251&gt;0,'Le mie risposte'!$F$251,0))</f>
      </c>
      <c r="I71" s="363">
        <f>(I67+I68+I69+I70)*IF('Le mie risposte'!$D$251&gt;0,'Le mie risposte'!$D$251,IF('Le mie risposte'!$F$251&gt;0,'Le mie risposte'!$F$251,0))</f>
      </c>
      <c r="J71" s="363">
        <f>(J67+J68+J69+J70)*IF('Le mie risposte'!$D$251&gt;0,'Le mie risposte'!$D$251,IF('Le mie risposte'!$F$251&gt;0,'Le mie risposte'!$F$251,0))</f>
      </c>
      <c r="K71" s="363">
        <f>(K67+K68+K69+K70)*IF('Le mie risposte'!$D$251&gt;0,'Le mie risposte'!$D$251,IF('Le mie risposte'!$F$251&gt;0,'Le mie risposte'!$F$251,0))</f>
      </c>
      <c r="L71" s="363">
        <f>(L67+L68+L69+L70)*IF('Le mie risposte'!$D$251&gt;0,'Le mie risposte'!$D$251,IF('Le mie risposte'!$F$251&gt;0,'Le mie risposte'!$F$251,0))</f>
      </c>
      <c r="M71" s="363">
        <f>(M67+M68+M69+M70)*IF('Le mie risposte'!$D$251&gt;0,'Le mie risposte'!$D$251,IF('Le mie risposte'!$F$251&gt;0,'Le mie risposte'!$F$251,0))</f>
      </c>
      <c r="N71" s="363">
        <f>(N67+N68+N69+N70)*IF('Le mie risposte'!$D$251&gt;0,'Le mie risposte'!$D$251,IF('Le mie risposte'!$F$251&gt;0,'Le mie risposte'!$F$251,0))</f>
      </c>
      <c r="O71" s="363">
        <f>(O67+O68+O69+O70)*IF('Le mie risposte'!$D$251&gt;0,'Le mie risposte'!$D$251,IF('Le mie risposte'!$F$251&gt;0,'Le mie risposte'!$F$251,0))</f>
      </c>
      <c r="P71" s="397">
        <f>SUM(C71:O71)</f>
      </c>
      <c r="Q71" s="372"/>
      <c r="R71" s="372"/>
      <c r="S71" s="372"/>
      <c r="T71" s="372"/>
      <c r="U71" s="372"/>
    </row>
    <row r="72" spans="1:21" ht="14.25" customHeight="1">
      <c r="A72" s="365"/>
      <c r="B72" s="394" t="str">
        <f t="shared" si="13"/>
      </c>
      <c r="C72" s="396"/>
      <c r="D72" s="364">
        <f t="shared" ref="D72:O72" si="19">D57-D65-D71</f>
      </c>
      <c r="E72" s="364">
        <f t="shared" si="19"/>
      </c>
      <c r="F72" s="364">
        <f t="shared" si="19"/>
      </c>
      <c r="G72" s="364">
        <f t="shared" si="19"/>
      </c>
      <c r="H72" s="364">
        <f t="shared" si="19"/>
      </c>
      <c r="I72" s="364">
        <f t="shared" si="19"/>
      </c>
      <c r="J72" s="364">
        <f t="shared" si="19"/>
      </c>
      <c r="K72" s="364">
        <f t="shared" si="19"/>
      </c>
      <c r="L72" s="364">
        <f t="shared" si="19"/>
      </c>
      <c r="M72" s="364">
        <f t="shared" si="19"/>
      </c>
      <c r="N72" s="364">
        <f t="shared" si="19"/>
      </c>
      <c r="O72" s="364">
        <f t="shared" si="19"/>
      </c>
      <c r="P72" s="397">
        <f>SUM(D72:O72)</f>
      </c>
      <c r="Q72" s="372"/>
      <c r="R72" s="372"/>
      <c r="S72" s="372"/>
      <c r="T72" s="372"/>
      <c r="U72" s="372"/>
    </row>
    <row r="73" spans="1:21" ht="14.25" customHeight="1">
      <c r="A73" s="365"/>
      <c r="B73" s="394" t="str">
        <f>B30</f>
      </c>
      <c r="C73" s="396"/>
      <c r="D73" s="363">
        <f>IF('Le mie risposte'!$F$125="",0,'Le mie risposte'!$F$125)+IF('Le mie risposte'!$F$133="",0,'Le mie risposte'!$F$133)</f>
      </c>
      <c r="E73" s="363">
        <f>IF('Le mie risposte'!$F$125="",0,'Le mie risposte'!$F$125)+IF('Le mie risposte'!$F$133="",0,'Le mie risposte'!$F$133)</f>
      </c>
      <c r="F73" s="363">
        <f>IF('Le mie risposte'!$F$125="",0,'Le mie risposte'!$F$125)+IF('Le mie risposte'!$F$133="",0,'Le mie risposte'!$F$133)</f>
      </c>
      <c r="G73" s="363">
        <f>IF('Le mie risposte'!$F$125="",0,'Le mie risposte'!$F$125)+IF('Le mie risposte'!$F$133="",0,'Le mie risposte'!$F$133)</f>
      </c>
      <c r="H73" s="363">
        <f>IF('Le mie risposte'!$F$125="",0,'Le mie risposte'!$F$125)+IF('Le mie risposte'!$F$133="",0,'Le mie risposte'!$F$133)</f>
      </c>
      <c r="I73" s="363">
        <f>IF('Le mie risposte'!$F$125="",0,'Le mie risposte'!$F$125)+IF('Le mie risposte'!$F$133="",0,'Le mie risposte'!$F$133)</f>
      </c>
      <c r="J73" s="363">
        <f>IF('Le mie risposte'!$F$125="",0,'Le mie risposte'!$F$125)+IF('Le mie risposte'!$F$133="",0,'Le mie risposte'!$F$133)</f>
      </c>
      <c r="K73" s="363">
        <f>IF('Le mie risposte'!$F$125="",0,'Le mie risposte'!$F$125)+IF('Le mie risposte'!$F$133="",0,'Le mie risposte'!$F$133)</f>
      </c>
      <c r="L73" s="363">
        <f>IF('Le mie risposte'!$F$125="",0,'Le mie risposte'!$F$125)+IF('Le mie risposte'!$F$133="",0,'Le mie risposte'!$F$133)</f>
      </c>
      <c r="M73" s="363">
        <f>IF('Le mie risposte'!$F$125="",0,'Le mie risposte'!$F$125)+IF('Le mie risposte'!$F$133="",0,'Le mie risposte'!$F$133)</f>
      </c>
      <c r="N73" s="363">
        <f>IF('Le mie risposte'!$F$125="",0,'Le mie risposte'!$F$125)+IF('Le mie risposte'!$F$133="",0,'Le mie risposte'!$F$133)</f>
      </c>
      <c r="O73" s="363">
        <f>IF('Le mie risposte'!$F$125="",0,'Le mie risposte'!$F$125)+IF('Le mie risposte'!$F$133="",0,'Le mie risposte'!$F$133)</f>
      </c>
      <c r="P73" s="397">
        <f>SUM(D73:O73)</f>
      </c>
      <c r="Q73" s="372"/>
      <c r="R73" s="372"/>
      <c r="S73" s="372"/>
      <c r="T73" s="372"/>
      <c r="U73" s="372"/>
    </row>
    <row r="74" spans="1:21" ht="14.25" customHeight="1">
      <c r="A74" s="365"/>
      <c r="B74" s="394" t="str">
        <f>B31</f>
      </c>
      <c r="C74" s="396"/>
      <c r="D74" s="363">
        <f>IF(AND(D47&gt;=dropdowns!$G$155,D47&lt;dropdowns!$G$155+'Le mie risposte'!$G$129),'Le mie risposte'!$F$127,0)+IF(AND(D47&gt;=dropdowns!$G$156,D47&lt;dropdowns!$G$156+'Le mie risposte'!$G$137),'Le mie risposte'!$F$135,0)</f>
      </c>
      <c r="E74" s="363">
        <f>IF(AND(E47&gt;=dropdowns!$G$155,E47&lt;dropdowns!$G$155+'Le mie risposte'!$G$129),'Le mie risposte'!$F$127,0)+IF(AND(E47&gt;=dropdowns!$G$156,E47&lt;dropdowns!$G$156+'Le mie risposte'!$G$137),'Le mie risposte'!$F$135,0)</f>
      </c>
      <c r="F74" s="363">
        <f>IF(AND(F47&gt;=dropdowns!$G$155,F47&lt;dropdowns!$G$155+'Le mie risposte'!$G$129),'Le mie risposte'!$F$127,0)+IF(AND(F47&gt;=dropdowns!$G$156,F47&lt;dropdowns!$G$156+'Le mie risposte'!$G$137),'Le mie risposte'!$F$135,0)</f>
      </c>
      <c r="G74" s="363">
        <f>IF(AND(G47&gt;=dropdowns!$G$155,G47&lt;dropdowns!$G$155+'Le mie risposte'!$G$129),'Le mie risposte'!$F$127,0)+IF(AND(G47&gt;=dropdowns!$G$156,G47&lt;dropdowns!$G$156+'Le mie risposte'!$G$137),'Le mie risposte'!$F$135,0)</f>
      </c>
      <c r="H74" s="363">
        <f>IF(AND(H47&gt;=dropdowns!$G$155,H47&lt;dropdowns!$G$155+'Le mie risposte'!$G$129),'Le mie risposte'!$F$127,0)+IF(AND(H47&gt;=dropdowns!$G$156,H47&lt;dropdowns!$G$156+'Le mie risposte'!$G$137),'Le mie risposte'!$F$135,0)</f>
      </c>
      <c r="I74" s="363">
        <f>IF(AND(I47&gt;=dropdowns!$G$155,I47&lt;dropdowns!$G$155+'Le mie risposte'!$G$129),'Le mie risposte'!$F$127,0)+IF(AND(I47&gt;=dropdowns!$G$156,I47&lt;dropdowns!$G$156+'Le mie risposte'!$G$137),'Le mie risposte'!$F$135,0)</f>
      </c>
      <c r="J74" s="363">
        <f>IF(AND(J47&gt;=dropdowns!$G$155,J47&lt;dropdowns!$G$155+'Le mie risposte'!$G$129),'Le mie risposte'!$F$127,0)+IF(AND(J47&gt;=dropdowns!$G$156,J47&lt;dropdowns!$G$156+'Le mie risposte'!$G$137),'Le mie risposte'!$F$135,0)</f>
      </c>
      <c r="K74" s="363">
        <f>IF(AND(K47&gt;=dropdowns!$G$155,K47&lt;dropdowns!$G$155+'Le mie risposte'!$G$129),'Le mie risposte'!$F$127,0)+IF(AND(K47&gt;=dropdowns!$G$156,K47&lt;dropdowns!$G$156+'Le mie risposte'!$G$137),'Le mie risposte'!$F$135,0)</f>
      </c>
      <c r="L74" s="363">
        <f>IF(AND(L47&gt;=dropdowns!$G$155,L47&lt;dropdowns!$G$155+'Le mie risposte'!$G$129),'Le mie risposte'!$F$127,0)+IF(AND(L47&gt;=dropdowns!$G$156,L47&lt;dropdowns!$G$156+'Le mie risposte'!$G$137),'Le mie risposte'!$F$135,0)</f>
      </c>
      <c r="M74" s="363">
        <f>IF(AND(M47&gt;=dropdowns!$G$155,M47&lt;dropdowns!$G$155+'Le mie risposte'!$G$129),'Le mie risposte'!$F$127,0)+IF(AND(M47&gt;=dropdowns!$G$156,M47&lt;dropdowns!$G$156+'Le mie risposte'!$G$137),'Le mie risposte'!$F$135,0)</f>
      </c>
      <c r="N74" s="363">
        <f>IF(AND(N47&gt;=dropdowns!$G$155,N47&lt;dropdowns!$G$155+'Le mie risposte'!$G$129),'Le mie risposte'!$F$127,0)+IF(AND(N47&gt;=dropdowns!$G$156,N47&lt;dropdowns!$G$156+'Le mie risposte'!$G$137),'Le mie risposte'!$F$135,0)</f>
      </c>
      <c r="O74" s="363">
        <f>IF(AND(O47&gt;=dropdowns!$G$155,O47&lt;dropdowns!$G$155+'Le mie risposte'!$G$129),'Le mie risposte'!$F$127,0)+IF(AND(O47&gt;=dropdowns!$G$156,O47&lt;dropdowns!$G$156+'Le mie risposte'!$G$137),'Le mie risposte'!$F$135,0)</f>
      </c>
      <c r="P74" s="397">
        <f>SUM(D74:O74)</f>
      </c>
      <c r="Q74" s="372"/>
      <c r="R74" s="372"/>
      <c r="S74" s="372"/>
      <c r="T74" s="372"/>
      <c r="U74" s="372"/>
    </row>
    <row r="75" spans="1:21" ht="14.25" customHeight="1">
      <c r="A75" s="365"/>
      <c r="B75" s="394" t="str">
        <f>B32</f>
      </c>
      <c r="C75" s="396"/>
      <c r="D75" s="363">
        <f>'Oneri mensili'!C26</f>
      </c>
      <c r="E75" s="363">
        <f>'Oneri mensili'!D26</f>
      </c>
      <c r="F75" s="363">
        <f>'Oneri mensili'!E26</f>
      </c>
      <c r="G75" s="363">
        <f>'Oneri mensili'!F26</f>
      </c>
      <c r="H75" s="363">
        <f>'Oneri mensili'!G26</f>
      </c>
      <c r="I75" s="363">
        <f>'Oneri mensili'!H26</f>
      </c>
      <c r="J75" s="363">
        <f>'Oneri mensili'!I26</f>
      </c>
      <c r="K75" s="363">
        <f>'Oneri mensili'!J26</f>
      </c>
      <c r="L75" s="363">
        <f>'Oneri mensili'!K26</f>
      </c>
      <c r="M75" s="363">
        <f>'Oneri mensili'!L26</f>
      </c>
      <c r="N75" s="363">
        <f>'Oneri mensili'!M26</f>
      </c>
      <c r="O75" s="363">
        <f>'Oneri mensili'!N26</f>
      </c>
      <c r="P75" s="397">
        <f>SUM(D75:O75)</f>
      </c>
      <c r="Q75" s="372"/>
      <c r="R75" s="372"/>
      <c r="S75" s="372"/>
      <c r="T75" s="372"/>
      <c r="U75" s="372"/>
    </row>
    <row r="76" spans="1:21" ht="14.25" customHeight="1">
      <c r="A76" s="365"/>
      <c r="B76" s="394" t="str">
        <f>B33</f>
      </c>
      <c r="C76" s="396"/>
      <c r="D76" s="363">
        <f>'Oneri mensili'!C27</f>
      </c>
      <c r="E76" s="363">
        <f>'Oneri mensili'!D27</f>
      </c>
      <c r="F76" s="363">
        <f>'Oneri mensili'!E27</f>
      </c>
      <c r="G76" s="363">
        <f>'Oneri mensili'!F27</f>
      </c>
      <c r="H76" s="363">
        <f>'Oneri mensili'!G27</f>
      </c>
      <c r="I76" s="363">
        <f>'Oneri mensili'!H27</f>
      </c>
      <c r="J76" s="363">
        <f>'Oneri mensili'!I27</f>
      </c>
      <c r="K76" s="363">
        <f>'Oneri mensili'!J27</f>
      </c>
      <c r="L76" s="363">
        <f>'Oneri mensili'!K27</f>
      </c>
      <c r="M76" s="363">
        <f>'Oneri mensili'!L27</f>
      </c>
      <c r="N76" s="363">
        <f>'Oneri mensili'!M27</f>
      </c>
      <c r="O76" s="363">
        <f>'Oneri mensili'!N27</f>
      </c>
      <c r="P76" s="397">
        <f>SUM(D76:O76)</f>
      </c>
      <c r="Q76" s="372"/>
      <c r="R76" s="372"/>
      <c r="S76" s="372"/>
      <c r="T76" s="372"/>
      <c r="U76" s="372"/>
    </row>
    <row r="77" spans="1:21" ht="14.25" customHeight="1">
      <c r="A77" s="365"/>
      <c r="B77" s="384" t="s">
        <v>1858</v>
      </c>
      <c r="C77" s="396"/>
      <c r="D77" s="363">
        <f>$P$77/12</f>
      </c>
      <c r="E77" s="363">
        <f t="shared" ref="E77:O77" si="20">$P$77/12</f>
      </c>
      <c r="F77" s="363">
        <f t="shared" si="20"/>
      </c>
      <c r="G77" s="363">
        <f t="shared" si="20"/>
      </c>
      <c r="H77" s="363">
        <f t="shared" si="20"/>
      </c>
      <c r="I77" s="363">
        <f t="shared" si="20"/>
      </c>
      <c r="J77" s="363">
        <f t="shared" si="20"/>
      </c>
      <c r="K77" s="363">
        <f t="shared" si="20"/>
      </c>
      <c r="L77" s="363">
        <f t="shared" si="20"/>
      </c>
      <c r="M77" s="363">
        <f t="shared" si="20"/>
      </c>
      <c r="N77" s="363">
        <f t="shared" si="20"/>
      </c>
      <c r="O77" s="363">
        <f t="shared" si="20"/>
      </c>
      <c r="P77" s="397">
        <f>'Previsione di gestione'!D33</f>
      </c>
      <c r="Q77" s="372"/>
      <c r="R77" s="372"/>
      <c r="S77" s="372"/>
      <c r="T77" s="372"/>
      <c r="U77" s="372"/>
    </row>
    <row r="78" spans="1:21" ht="14.25" customHeight="1">
      <c r="A78" s="365"/>
      <c r="B78" s="400" t="str">
        <f>'Le mie risposte'!$D$13</f>
      </c>
      <c r="C78" s="386"/>
      <c r="D78" s="386"/>
      <c r="E78" s="386"/>
      <c r="F78" s="386"/>
      <c r="G78" s="386"/>
      <c r="H78" s="386"/>
      <c r="I78" s="386"/>
      <c r="J78" s="386"/>
      <c r="K78" s="386"/>
      <c r="L78" s="386"/>
      <c r="M78" s="386"/>
      <c r="N78" s="386"/>
      <c r="O78" s="386"/>
      <c r="P78" s="387"/>
      <c r="Q78" s="372"/>
      <c r="R78" s="372"/>
      <c r="S78" s="372"/>
      <c r="T78" s="372"/>
      <c r="U78" s="372"/>
    </row>
    <row r="79" spans="1:21" ht="14.25" customHeight="1">
      <c r="A79" s="365"/>
      <c r="B79" s="384" t="str">
        <f>B36</f>
      </c>
      <c r="C79" s="386"/>
      <c r="D79" s="385">
        <f>$P$79/12</f>
      </c>
      <c r="E79" s="385">
        <f t="shared" ref="E79:O79" si="21">$P$79/12</f>
      </c>
      <c r="F79" s="385">
        <f t="shared" si="21"/>
      </c>
      <c r="G79" s="385">
        <f t="shared" si="21"/>
      </c>
      <c r="H79" s="385">
        <f t="shared" si="21"/>
      </c>
      <c r="I79" s="385">
        <f t="shared" si="21"/>
      </c>
      <c r="J79" s="385">
        <f t="shared" si="21"/>
      </c>
      <c r="K79" s="385">
        <f t="shared" si="21"/>
      </c>
      <c r="L79" s="385">
        <f t="shared" si="21"/>
      </c>
      <c r="M79" s="385">
        <f t="shared" si="21"/>
      </c>
      <c r="N79" s="385">
        <f t="shared" si="21"/>
      </c>
      <c r="O79" s="385">
        <f t="shared" si="21"/>
      </c>
      <c r="P79" s="387">
        <f>IF('Le mie risposte'!D7="impresa individuale",0,IF('Le mie risposte'!D7="Società di persone",'Previsione di gestione'!D38,IF('Le mie risposte'!D7="società di capitali",0,0)))</f>
      </c>
      <c r="Q79" s="372"/>
      <c r="R79" s="372"/>
      <c r="S79" s="398"/>
      <c r="T79" s="372"/>
      <c r="U79" s="372"/>
    </row>
    <row r="80" spans="1:21" ht="14.25" customHeight="1">
      <c r="A80" s="365"/>
      <c r="B80" s="400" t="str">
        <f>'Le mie risposte'!$F$13</f>
      </c>
      <c r="C80" s="386"/>
      <c r="D80" s="386"/>
      <c r="E80" s="386"/>
      <c r="F80" s="386"/>
      <c r="G80" s="386"/>
      <c r="H80" s="386"/>
      <c r="I80" s="386"/>
      <c r="J80" s="386"/>
      <c r="K80" s="386"/>
      <c r="L80" s="386"/>
      <c r="M80" s="386"/>
      <c r="N80" s="386"/>
      <c r="O80" s="386"/>
      <c r="P80" s="387"/>
      <c r="Q80" s="372"/>
      <c r="R80" s="372"/>
      <c r="S80" s="398"/>
      <c r="T80" s="372"/>
      <c r="U80" s="372"/>
    </row>
    <row r="81" spans="1:21" ht="14.25" customHeight="1">
      <c r="A81" s="365"/>
      <c r="B81" s="384" t="str">
        <f>B38</f>
      </c>
      <c r="C81" s="386"/>
      <c r="D81" s="385">
        <f>$P$81/12</f>
      </c>
      <c r="E81" s="385">
        <f t="shared" ref="E81:O81" si="22">$P$81/12</f>
      </c>
      <c r="F81" s="385">
        <f t="shared" si="22"/>
      </c>
      <c r="G81" s="385">
        <f t="shared" si="22"/>
      </c>
      <c r="H81" s="385">
        <f t="shared" si="22"/>
      </c>
      <c r="I81" s="385">
        <f t="shared" si="22"/>
      </c>
      <c r="J81" s="385">
        <f t="shared" si="22"/>
      </c>
      <c r="K81" s="385">
        <f t="shared" si="22"/>
      </c>
      <c r="L81" s="385">
        <f t="shared" si="22"/>
      </c>
      <c r="M81" s="385">
        <f t="shared" si="22"/>
      </c>
      <c r="N81" s="385">
        <f t="shared" si="22"/>
      </c>
      <c r="O81" s="385">
        <f t="shared" si="22"/>
      </c>
      <c r="P81" s="387">
        <f>IF('Le mie risposte'!D7="impresa individuale",'Previsione di gestione'!D43,IF('Le mie risposte'!D7="Società di persone",'Previsione di gestione'!D43,IF('Le mie risposte'!D7="società di capitali",0,0)))+'Previsione di gestione'!D33</f>
      </c>
      <c r="Q81" s="372"/>
      <c r="R81" s="372"/>
      <c r="S81" s="398"/>
      <c r="T81" s="372"/>
      <c r="U81" s="372"/>
    </row>
    <row r="82" spans="1:21" ht="14.25" customHeight="1">
      <c r="A82" s="365"/>
      <c r="B82" s="384"/>
      <c r="C82" s="384"/>
      <c r="D82" s="384"/>
      <c r="E82" s="384"/>
      <c r="F82" s="384"/>
      <c r="G82" s="384"/>
      <c r="H82" s="384"/>
      <c r="I82" s="384"/>
      <c r="J82" s="384"/>
      <c r="K82" s="384"/>
      <c r="L82" s="384"/>
      <c r="M82" s="384"/>
      <c r="N82" s="384"/>
      <c r="O82" s="384"/>
      <c r="P82" s="387"/>
      <c r="Q82" s="372"/>
      <c r="R82" s="372"/>
      <c r="S82" s="398"/>
      <c r="T82" s="372"/>
      <c r="U82" s="372"/>
    </row>
    <row r="83" spans="1:21" ht="14.25" customHeight="1">
      <c r="A83" s="365"/>
      <c r="B83" s="389" t="str">
        <f>B40</f>
      </c>
      <c r="C83" s="390"/>
      <c r="D83" s="390">
        <f>SUM(D62:D81)-IF('Le mie risposte'!$D$17="",SUM('Previsione di liquidità'!D79:D79),0)</f>
      </c>
      <c r="E83" s="390">
        <f>SUM(E62:E81)-IF('Le mie risposte'!$D$17="",SUM('Previsione di liquidità'!E79:E79),0)</f>
      </c>
      <c r="F83" s="390">
        <f>SUM(F62:F81)-IF('Le mie risposte'!$D$17="",SUM('Previsione di liquidità'!F79:F79),0)</f>
      </c>
      <c r="G83" s="390">
        <f>SUM(G62:G81)-IF('Le mie risposte'!$D$17="",SUM('Previsione di liquidità'!G79:G79),0)</f>
      </c>
      <c r="H83" s="390">
        <f>SUM(H62:H81)-IF('Le mie risposte'!$D$17="",SUM('Previsione di liquidità'!H79:H79),0)</f>
      </c>
      <c r="I83" s="390">
        <f>SUM(I62:I81)-IF('Le mie risposte'!$D$17="",SUM('Previsione di liquidità'!I79:I79),0)</f>
      </c>
      <c r="J83" s="390">
        <f>SUM(J62:J81)-IF('Le mie risposte'!$D$17="",SUM('Previsione di liquidità'!J79:J79),0)</f>
      </c>
      <c r="K83" s="390">
        <f>SUM(K62:K81)-IF('Le mie risposte'!$D$17="",SUM('Previsione di liquidità'!K79:K79),0)</f>
      </c>
      <c r="L83" s="390">
        <f>SUM(L62:L81)-IF('Le mie risposte'!$D$17="",SUM('Previsione di liquidità'!L79:L79),0)</f>
      </c>
      <c r="M83" s="390">
        <f>SUM(M62:M81)-IF('Le mie risposte'!$D$17="",SUM('Previsione di liquidità'!M79:M79),0)</f>
      </c>
      <c r="N83" s="390">
        <f>SUM(N62:N81)-IF('Le mie risposte'!$D$17="",SUM('Previsione di liquidità'!N79:N79),0)</f>
      </c>
      <c r="O83" s="390">
        <f>SUM(O62:O81)-IF('Le mie risposte'!$D$17="",SUM('Previsione di liquidità'!O79:O79),0)</f>
      </c>
      <c r="P83" s="391">
        <f>SUM(C83:O83)</f>
      </c>
      <c r="Q83" s="372"/>
      <c r="R83" s="372"/>
      <c r="S83" s="372"/>
      <c r="T83" s="372"/>
      <c r="U83" s="372"/>
    </row>
    <row r="84" spans="1:21" ht="14.25" customHeight="1">
      <c r="A84" s="365"/>
      <c r="B84" s="396"/>
      <c r="C84" s="396"/>
      <c r="D84" s="396"/>
      <c r="E84" s="396"/>
      <c r="F84" s="396"/>
      <c r="G84" s="396"/>
      <c r="H84" s="396"/>
      <c r="I84" s="396"/>
      <c r="J84" s="396"/>
      <c r="K84" s="396"/>
      <c r="L84" s="396"/>
      <c r="M84" s="396"/>
      <c r="N84" s="396"/>
      <c r="O84" s="396"/>
      <c r="P84" s="396"/>
      <c r="Q84" s="372"/>
      <c r="R84" s="372"/>
      <c r="S84" s="372"/>
      <c r="T84" s="372"/>
      <c r="U84" s="372"/>
    </row>
    <row r="85" spans="1:21" ht="14.25" customHeight="1">
      <c r="A85" s="365"/>
      <c r="B85" s="389" t="str">
        <f>B42</f>
      </c>
      <c r="C85" s="401"/>
      <c r="D85" s="401">
        <f t="shared" ref="D85:O85" si="23">D59-D83</f>
      </c>
      <c r="E85" s="401">
        <f t="shared" si="23"/>
      </c>
      <c r="F85" s="401">
        <f t="shared" si="23"/>
      </c>
      <c r="G85" s="401">
        <f t="shared" si="23"/>
      </c>
      <c r="H85" s="401">
        <f t="shared" si="23"/>
      </c>
      <c r="I85" s="401">
        <f t="shared" si="23"/>
      </c>
      <c r="J85" s="401">
        <f t="shared" si="23"/>
      </c>
      <c r="K85" s="401">
        <f t="shared" si="23"/>
      </c>
      <c r="L85" s="401">
        <f t="shared" si="23"/>
      </c>
      <c r="M85" s="401">
        <f t="shared" si="23"/>
      </c>
      <c r="N85" s="401">
        <f t="shared" si="23"/>
      </c>
      <c r="O85" s="401">
        <f t="shared" si="23"/>
      </c>
      <c r="P85" s="391"/>
      <c r="Q85" s="372"/>
      <c r="R85" s="372"/>
      <c r="S85" s="372"/>
      <c r="T85" s="372"/>
      <c r="U85" s="372"/>
    </row>
    <row r="86" spans="1:21" ht="14.25" customHeight="1">
      <c r="A86" s="365"/>
      <c r="B86" s="396"/>
      <c r="C86" s="396"/>
      <c r="D86" s="396"/>
      <c r="E86" s="396"/>
      <c r="F86" s="396"/>
      <c r="G86" s="396"/>
      <c r="H86" s="396"/>
      <c r="I86" s="396"/>
      <c r="J86" s="396"/>
      <c r="K86" s="396"/>
      <c r="L86" s="396"/>
      <c r="M86" s="396"/>
      <c r="N86" s="396"/>
      <c r="O86" s="396"/>
      <c r="P86" s="396"/>
      <c r="Q86" s="372"/>
      <c r="R86" s="372"/>
      <c r="S86" s="372"/>
      <c r="T86" s="372"/>
      <c r="U86" s="372"/>
    </row>
    <row r="87" spans="1:21" ht="14.25" customHeight="1">
      <c r="A87" s="365"/>
      <c r="B87" s="389" t="str">
        <f>B44</f>
      </c>
      <c r="C87" s="401"/>
      <c r="D87" s="401">
        <f t="shared" ref="D87:O87" si="24">D49+D85</f>
      </c>
      <c r="E87" s="401">
        <f t="shared" si="24"/>
      </c>
      <c r="F87" s="401">
        <f t="shared" si="24"/>
      </c>
      <c r="G87" s="401">
        <f t="shared" si="24"/>
      </c>
      <c r="H87" s="401">
        <f t="shared" si="24"/>
      </c>
      <c r="I87" s="401">
        <f t="shared" si="24"/>
      </c>
      <c r="J87" s="401">
        <f t="shared" si="24"/>
      </c>
      <c r="K87" s="401">
        <f t="shared" si="24"/>
      </c>
      <c r="L87" s="401">
        <f t="shared" si="24"/>
      </c>
      <c r="M87" s="401">
        <f t="shared" si="24"/>
      </c>
      <c r="N87" s="401">
        <f t="shared" si="24"/>
      </c>
      <c r="O87" s="401">
        <f t="shared" si="24"/>
      </c>
      <c r="P87" s="391"/>
      <c r="Q87" s="372"/>
      <c r="R87" s="372"/>
      <c r="S87" s="372"/>
      <c r="T87" s="372"/>
      <c r="U87" s="372"/>
    </row>
    <row r="88" spans="1:21" ht="14.25" customHeight="1">
      <c r="A88" s="365"/>
      <c r="B88" s="372"/>
      <c r="C88" s="407"/>
      <c r="D88" s="372"/>
      <c r="E88" s="372"/>
      <c r="F88" s="372"/>
      <c r="G88" s="372"/>
      <c r="H88" s="372"/>
      <c r="I88" s="372"/>
      <c r="J88" s="372"/>
      <c r="K88" s="372"/>
      <c r="L88" s="372"/>
      <c r="M88" s="372"/>
      <c r="N88" s="372"/>
      <c r="O88" s="372"/>
      <c r="P88" s="372"/>
      <c r="Q88" s="372"/>
      <c r="R88" s="372"/>
      <c r="S88" s="372"/>
      <c r="T88" s="372"/>
      <c r="U88" s="372"/>
    </row>
    <row r="89" spans="1:21" ht="14.25" customHeight="1">
      <c r="A89" s="365"/>
      <c r="B89" s="372"/>
      <c r="C89" s="407"/>
      <c r="D89" s="372"/>
      <c r="E89" s="372"/>
      <c r="F89" s="372"/>
      <c r="G89" s="372"/>
      <c r="H89" s="372"/>
      <c r="I89" s="372"/>
      <c r="J89" s="372"/>
      <c r="K89" s="372"/>
      <c r="L89" s="372"/>
      <c r="M89" s="372"/>
      <c r="N89" s="372"/>
      <c r="O89" s="372"/>
      <c r="P89" s="372"/>
      <c r="Q89" s="372"/>
      <c r="R89" s="372"/>
      <c r="S89" s="372"/>
      <c r="T89" s="372"/>
      <c r="U89" s="372"/>
    </row>
    <row r="90" spans="1:21" ht="14.25" customHeight="1">
      <c r="A90" s="365"/>
      <c r="B90" s="372"/>
      <c r="C90" s="407"/>
      <c r="D90" s="372"/>
      <c r="E90" s="372"/>
      <c r="F90" s="372"/>
      <c r="G90" s="372"/>
      <c r="H90" s="372"/>
      <c r="I90" s="372"/>
      <c r="J90" s="372"/>
      <c r="K90" s="372"/>
      <c r="L90" s="372"/>
      <c r="M90" s="372"/>
      <c r="N90" s="372"/>
      <c r="O90" s="372"/>
      <c r="P90" s="372"/>
      <c r="Q90" s="372"/>
      <c r="R90" s="372"/>
      <c r="S90" s="372"/>
      <c r="T90" s="372"/>
      <c r="U90" s="372"/>
    </row>
    <row r="91" spans="1:21" ht="14.25" customHeight="1">
      <c r="A91" s="365"/>
      <c r="B91" s="372"/>
      <c r="C91" s="407"/>
      <c r="D91" s="372"/>
      <c r="E91" s="372"/>
      <c r="F91" s="372"/>
      <c r="G91" s="372"/>
      <c r="H91" s="372"/>
      <c r="I91" s="372"/>
      <c r="J91" s="372"/>
      <c r="K91" s="372"/>
      <c r="L91" s="372"/>
      <c r="M91" s="372"/>
      <c r="N91" s="372"/>
      <c r="O91" s="372"/>
      <c r="P91" s="372"/>
      <c r="Q91" s="372"/>
      <c r="R91" s="372"/>
      <c r="S91" s="372"/>
      <c r="T91" s="372"/>
      <c r="U91" s="372"/>
    </row>
    <row r="92" spans="1:21" ht="14.25" customHeight="1">
      <c r="A92" s="365"/>
      <c r="B92" s="370" t="str">
        <f>B47</f>
      </c>
      <c r="C92" s="371"/>
      <c r="D92" s="371">
        <v>25</v>
      </c>
      <c r="E92" s="371">
        <v>26</v>
      </c>
      <c r="F92" s="371">
        <v>27</v>
      </c>
      <c r="G92" s="371">
        <v>28</v>
      </c>
      <c r="H92" s="371">
        <v>29</v>
      </c>
      <c r="I92" s="371">
        <v>30</v>
      </c>
      <c r="J92" s="371">
        <v>31</v>
      </c>
      <c r="K92" s="371">
        <v>32</v>
      </c>
      <c r="L92" s="371">
        <v>33</v>
      </c>
      <c r="M92" s="371">
        <v>34</v>
      </c>
      <c r="N92" s="371">
        <v>35</v>
      </c>
      <c r="O92" s="371">
        <v>36</v>
      </c>
      <c r="P92" s="371" t="s">
        <v>27</v>
      </c>
      <c r="Q92" s="372"/>
      <c r="R92" s="372"/>
      <c r="S92" s="372"/>
      <c r="T92" s="372"/>
      <c r="U92" s="372"/>
    </row>
    <row r="93" spans="1:21" ht="14.25" customHeight="1">
      <c r="A93" s="365"/>
      <c r="B93" s="372"/>
      <c r="C93" s="372"/>
      <c r="D93" s="374"/>
      <c r="E93" s="374"/>
      <c r="F93" s="374"/>
      <c r="G93" s="374"/>
      <c r="H93" s="374"/>
      <c r="I93" s="374"/>
      <c r="J93" s="374"/>
      <c r="K93" s="374"/>
      <c r="L93" s="374"/>
      <c r="M93" s="374"/>
      <c r="N93" s="374"/>
      <c r="O93" s="374"/>
      <c r="P93" s="374"/>
      <c r="Q93" s="372"/>
      <c r="R93" s="372"/>
      <c r="S93" s="372"/>
      <c r="T93" s="372"/>
      <c r="U93" s="372"/>
    </row>
    <row r="94" spans="1:21" ht="14.25" customHeight="1">
      <c r="A94" s="365"/>
      <c r="B94" s="375" t="str">
        <f>B49</f>
      </c>
      <c r="C94" s="376"/>
      <c r="D94" s="376">
        <f>O87</f>
      </c>
      <c r="E94" s="376">
        <f t="shared" ref="E94:O94" si="25">D132</f>
      </c>
      <c r="F94" s="376">
        <f t="shared" si="25"/>
      </c>
      <c r="G94" s="376">
        <f t="shared" si="25"/>
      </c>
      <c r="H94" s="376">
        <f t="shared" si="25"/>
      </c>
      <c r="I94" s="376">
        <f t="shared" si="25"/>
      </c>
      <c r="J94" s="376">
        <f t="shared" si="25"/>
      </c>
      <c r="K94" s="376">
        <f t="shared" si="25"/>
      </c>
      <c r="L94" s="376">
        <f t="shared" si="25"/>
      </c>
      <c r="M94" s="376">
        <f t="shared" si="25"/>
      </c>
      <c r="N94" s="376">
        <f t="shared" si="25"/>
      </c>
      <c r="O94" s="376">
        <f t="shared" si="25"/>
      </c>
      <c r="P94" s="377"/>
      <c r="Q94" s="372"/>
      <c r="R94" s="402"/>
      <c r="S94" s="372"/>
      <c r="T94" s="372"/>
      <c r="U94" s="372"/>
    </row>
    <row r="95" spans="1:21" ht="14.25" customHeight="1">
      <c r="A95" s="365"/>
      <c r="B95" s="379"/>
      <c r="C95" s="379"/>
      <c r="D95" s="379"/>
      <c r="E95" s="379"/>
      <c r="F95" s="379"/>
      <c r="G95" s="379"/>
      <c r="H95" s="379"/>
      <c r="I95" s="379"/>
      <c r="J95" s="379"/>
      <c r="K95" s="379"/>
      <c r="L95" s="379"/>
      <c r="M95" s="379"/>
      <c r="N95" s="379"/>
      <c r="O95" s="379"/>
      <c r="P95" s="379"/>
      <c r="Q95" s="372"/>
      <c r="R95" s="372"/>
      <c r="S95" s="372"/>
      <c r="T95" s="372"/>
      <c r="U95" s="372"/>
    </row>
    <row r="96" spans="1:21" ht="14.25" customHeight="1">
      <c r="A96" s="365"/>
      <c r="B96" s="380" t="str">
        <f t="shared" ref="B96:B104" si="26">B51</f>
      </c>
      <c r="C96" s="381"/>
      <c r="D96" s="381"/>
      <c r="E96" s="381"/>
      <c r="F96" s="381"/>
      <c r="G96" s="381"/>
      <c r="H96" s="381"/>
      <c r="I96" s="381"/>
      <c r="J96" s="381"/>
      <c r="K96" s="381"/>
      <c r="L96" s="381"/>
      <c r="M96" s="381"/>
      <c r="N96" s="381"/>
      <c r="O96" s="381"/>
      <c r="P96" s="382"/>
      <c r="Q96" s="372"/>
      <c r="R96" s="372"/>
      <c r="S96" s="372"/>
      <c r="T96" s="372"/>
      <c r="U96" s="372"/>
    </row>
    <row r="97" spans="1:21" ht="14.25" hidden="1" customHeight="1">
      <c r="A97" s="383"/>
      <c r="B97" s="403" t="str">
        <f t="shared" si="26"/>
      </c>
      <c r="C97" s="404"/>
      <c r="D97" s="405"/>
      <c r="E97" s="405"/>
      <c r="F97" s="405"/>
      <c r="G97" s="405"/>
      <c r="H97" s="405"/>
      <c r="I97" s="405"/>
      <c r="J97" s="405"/>
      <c r="K97" s="405"/>
      <c r="L97" s="405"/>
      <c r="M97" s="405"/>
      <c r="N97" s="405"/>
      <c r="O97" s="405"/>
      <c r="P97" s="406">
        <f>SUM(C97:O97)</f>
      </c>
      <c r="Q97" s="372"/>
      <c r="R97" s="372"/>
      <c r="S97" s="372"/>
      <c r="T97" s="372"/>
      <c r="U97" s="372"/>
    </row>
    <row r="98" spans="1:21" ht="14.25" hidden="1" customHeight="1">
      <c r="A98" s="365"/>
      <c r="B98" s="403" t="str">
        <f t="shared" si="26"/>
      </c>
      <c r="C98" s="404"/>
      <c r="D98" s="405"/>
      <c r="E98" s="405"/>
      <c r="F98" s="405"/>
      <c r="G98" s="405"/>
      <c r="H98" s="405"/>
      <c r="I98" s="405"/>
      <c r="J98" s="405"/>
      <c r="K98" s="405"/>
      <c r="L98" s="405"/>
      <c r="M98" s="405"/>
      <c r="N98" s="405"/>
      <c r="O98" s="405"/>
      <c r="P98" s="406">
        <f>SUM(C98:O98)</f>
      </c>
      <c r="Q98" s="372"/>
      <c r="R98" s="372"/>
      <c r="S98" s="372"/>
      <c r="T98" s="372"/>
      <c r="U98" s="372"/>
    </row>
    <row r="99" spans="1:21" ht="14.25" hidden="1" customHeight="1">
      <c r="A99" s="365"/>
      <c r="B99" s="403" t="str">
        <f t="shared" si="26"/>
      </c>
      <c r="C99" s="404"/>
      <c r="D99" s="405"/>
      <c r="E99" s="405"/>
      <c r="F99" s="405"/>
      <c r="G99" s="405"/>
      <c r="H99" s="405"/>
      <c r="I99" s="405"/>
      <c r="J99" s="405"/>
      <c r="K99" s="405"/>
      <c r="L99" s="405"/>
      <c r="M99" s="405"/>
      <c r="N99" s="405"/>
      <c r="O99" s="405"/>
      <c r="P99" s="406">
        <f>SUM(C99:O99)</f>
      </c>
      <c r="Q99" s="372"/>
      <c r="R99" s="372"/>
      <c r="S99" s="372"/>
      <c r="T99" s="372"/>
      <c r="U99" s="372"/>
    </row>
    <row r="100" spans="1:21" ht="14.25" customHeight="1">
      <c r="A100" s="365"/>
      <c r="B100" s="384" t="str">
        <f t="shared" si="26"/>
      </c>
      <c r="C100" s="386"/>
      <c r="D100" s="385">
        <f>IF(D$92=N$47+dropdowns!$G$6,'Le mie risposte'!$D301*1,IF(D$92=O$47+dropdowns!$G$6,'Le mie risposte'!$D303*1,IF(D$92=D$92+dropdowns!$G$6,'Le mie risposte'!$D305*1,0)))</f>
      </c>
      <c r="E100" s="385">
        <f>IF(E$92=O$47+dropdowns!$G$6,'Le mie risposte'!$D303*1,IF(E$92=D$92+dropdowns!$G$6,'Le mie risposte'!$D305*1,IF(E$92=E$92+dropdowns!$G$6,'Le mie risposte'!$D307*1,0)))</f>
      </c>
      <c r="F100" s="385">
        <f>IF(F$92=D$92+dropdowns!$G$6,'Le mie risposte'!$D305*1,IF(F$92=E$92+dropdowns!$G$6,'Le mie risposte'!$D307*1,IF(F$92=F$92+dropdowns!$G$6,'Le mie risposte'!$D309*1,0)))</f>
      </c>
      <c r="G100" s="385">
        <f>IF(G$92=E$92+dropdowns!$G$6,'Le mie risposte'!$D307*1,IF(G$92=F$92+dropdowns!$G$6,'Le mie risposte'!$D309*1,IF(G$92=G$92+dropdowns!$G$6,'Le mie risposte'!$D311*1,0)))</f>
      </c>
      <c r="H100" s="385">
        <f>IF(H$92=F$92+dropdowns!$G$6,'Le mie risposte'!$D309*1,IF(H$92=G$92+dropdowns!$G$6,'Le mie risposte'!$D311*1,IF(H$92=H$92+dropdowns!$G$6,'Le mie risposte'!$D313*1,0)))</f>
      </c>
      <c r="I100" s="385">
        <f>IF(I$92=G$92+dropdowns!$G$6,'Le mie risposte'!$D311*1,IF(I$92=H$92+dropdowns!$G$6,'Le mie risposte'!$D313*1,IF(I$92=I$92+dropdowns!$G$6,'Le mie risposte'!$D315*1,0)))</f>
      </c>
      <c r="J100" s="385">
        <f>IF(J$92=H$92+dropdowns!$G$6,'Le mie risposte'!$D313*1,IF(J$92=I$92+dropdowns!$G$6,'Le mie risposte'!$D315*1,IF(J$92=J$92+dropdowns!$G$6,'Le mie risposte'!$D317*1,0)))</f>
      </c>
      <c r="K100" s="385">
        <f>IF(K$92=I$92+dropdowns!$G$6,'Le mie risposte'!$D315*1,IF(K$92=J$92+dropdowns!$G$6,'Le mie risposte'!$D317*1,IF(K$92=K$92+dropdowns!$G$6,'Le mie risposte'!$D319*1,0)))</f>
      </c>
      <c r="L100" s="385">
        <f>IF(L$92=J$92+dropdowns!$G$6,'Le mie risposte'!$D317*1,IF(L$92=K$92+dropdowns!$G$6,'Le mie risposte'!$D319*1,IF(L$92=L$92+dropdowns!$G$6,'Le mie risposte'!$D321*1,0)))</f>
      </c>
      <c r="M100" s="385">
        <f>IF(M$92=K$92+dropdowns!$G$6,'Le mie risposte'!$D319*1,IF(M$92=L$92+dropdowns!$G$6,'Le mie risposte'!$D321*1,IF(M$92=M$92+dropdowns!$G$6,'Le mie risposte'!$D323*1,0)))</f>
      </c>
      <c r="N100" s="385">
        <f>IF(N$92=L$92+dropdowns!$G$6,'Le mie risposte'!$D321*1,IF(N$92=M$92+dropdowns!$G$6,'Le mie risposte'!$D323*1,IF(N$92=N$92+dropdowns!$G$6,'Le mie risposte'!$D325*1,0)))</f>
      </c>
      <c r="O100" s="385">
        <f>IF(O$92=M$92+dropdowns!$G$6,'Le mie risposte'!$D323*1,IF(O$92=N$92+dropdowns!$G$6,'Le mie risposte'!$D325*1,IF(O$92=O$92+dropdowns!$G$6,'Le mie risposte'!$D327*1,0)))</f>
      </c>
      <c r="P100" s="387">
        <f>SUM(D100:O100)</f>
      </c>
      <c r="Q100" s="372"/>
      <c r="R100" s="372"/>
      <c r="S100" s="372"/>
      <c r="T100" s="372"/>
      <c r="U100" s="372"/>
    </row>
    <row r="101" spans="1:21" ht="14.25" customHeight="1">
      <c r="A101" s="365"/>
      <c r="B101" s="384" t="str">
        <f t="shared" si="26"/>
      </c>
      <c r="C101" s="386"/>
      <c r="D101" s="385">
        <f>IF(D$92=N$47+dropdowns!$H$6,'Le mie risposte'!$F301*1,IF(D$92=O$47+dropdowns!$H$6,'Le mie risposte'!$F303*1,IF(D$92=D$92+dropdowns!$H$6,'Le mie risposte'!$F305*1,0)))</f>
      </c>
      <c r="E101" s="385">
        <f>IF(E$92=O$47+dropdowns!$H$6,'Le mie risposte'!$F303*1,IF(E$92=D$92+dropdowns!$H$6,'Le mie risposte'!$F305*1,IF(E$92=E$92+dropdowns!$H$6,'Le mie risposte'!$F307*1,0)))</f>
      </c>
      <c r="F101" s="385">
        <f>IF(F$92=D$92+dropdowns!$H$6,'Le mie risposte'!$F305*1,IF(F$92=E$92+dropdowns!$H$6,'Le mie risposte'!$F307*1,IF(F$92=F$92+dropdowns!$H$6,'Le mie risposte'!$F309*1,0)))</f>
      </c>
      <c r="G101" s="385">
        <f>IF(G$92=E$92+dropdowns!$H$6,'Le mie risposte'!$F307*1,IF(G$92=F$92+dropdowns!$H$6,'Le mie risposte'!$F309*1,IF(G$92=G$92+dropdowns!$H$6,'Le mie risposte'!$F311*1,0)))</f>
      </c>
      <c r="H101" s="385">
        <f>IF(H$92=F$92+dropdowns!$H$6,'Le mie risposte'!$F309*1,IF(H$92=G$92+dropdowns!$H$6,'Le mie risposte'!$F311*1,IF(H$92=H$92+dropdowns!$H$6,'Le mie risposte'!$F313*1,0)))</f>
      </c>
      <c r="I101" s="385">
        <f>IF(I$92=G$92+dropdowns!$H$6,'Le mie risposte'!$F311*1,IF(I$92=H$92+dropdowns!$H$6,'Le mie risposte'!$F313*1,IF(I$92=I$92+dropdowns!$H$6,'Le mie risposte'!$F315*1,0)))</f>
      </c>
      <c r="J101" s="385">
        <f>IF(J$92=H$92+dropdowns!$H$6,'Le mie risposte'!$F313*1,IF(J$92=I$92+dropdowns!$H$6,'Le mie risposte'!$F315*1,IF(J$92=J$92+dropdowns!$H$6,'Le mie risposte'!$F317*1,0)))</f>
      </c>
      <c r="K101" s="385">
        <f>IF(K$92=I$92+dropdowns!$H$6,'Le mie risposte'!$F315*1,IF(K$92=J$92+dropdowns!$H$6,'Le mie risposte'!$F317*1,IF(K$92=K$92+dropdowns!$H$6,'Le mie risposte'!$F319*1,0)))</f>
      </c>
      <c r="L101" s="385">
        <f>IF(L$92=J$92+dropdowns!$H$6,'Le mie risposte'!$F317*1,IF(L$92=K$92+dropdowns!$H$6,'Le mie risposte'!$F319*1,IF(L$92=L$92+dropdowns!$H$6,'Le mie risposte'!$F321*1,0)))</f>
      </c>
      <c r="M101" s="385">
        <f>IF(M$92=K$92+dropdowns!$H$6,'Le mie risposte'!$F319*1,IF(M$92=L$92+dropdowns!$H$6,'Le mie risposte'!$F321*1,IF(M$92=M$92+dropdowns!$H$6,'Le mie risposte'!$F323*1,0)))</f>
      </c>
      <c r="N101" s="385">
        <f>IF(N$92=L$92+dropdowns!$H$6,'Le mie risposte'!$F321*1,IF(N$92=M$92+dropdowns!$H$6,'Le mie risposte'!$F323*1,IF(N$92=N$92+dropdowns!$H$6,'Le mie risposte'!$F325*1,0)))</f>
      </c>
      <c r="O101" s="385">
        <f>IF(O$92=M$92+dropdowns!$H$6,'Le mie risposte'!$F323*1,IF(O$92=N$92+dropdowns!$H$6,'Le mie risposte'!$F325*1,IF(O$92=O$92+dropdowns!$H$6,'Le mie risposte'!$F327*1,0)))</f>
      </c>
      <c r="P101" s="387">
        <f>SUM(D101:O101)</f>
      </c>
      <c r="Q101" s="372"/>
      <c r="R101" s="372"/>
      <c r="S101" s="372"/>
      <c r="T101" s="372"/>
      <c r="U101" s="372"/>
    </row>
    <row r="102" spans="1:21" ht="14.25" customHeight="1">
      <c r="A102" s="365"/>
      <c r="B102" s="384" t="str">
        <f t="shared" si="26"/>
      </c>
      <c r="C102" s="386"/>
      <c r="D102" s="385">
        <f>D101*'Le mie risposte'!$F$251+D100*'Le mie risposte'!$D$251</f>
      </c>
      <c r="E102" s="385">
        <f>E101*'Le mie risposte'!$F$251+E100*'Le mie risposte'!$D$251</f>
      </c>
      <c r="F102" s="385">
        <f>F101*'Le mie risposte'!$F$251+F100*'Le mie risposte'!$D$251</f>
      </c>
      <c r="G102" s="385">
        <f>G101*'Le mie risposte'!$F$251+G100*'Le mie risposte'!$D$251</f>
      </c>
      <c r="H102" s="385">
        <f>H101*'Le mie risposte'!$F$251+H100*'Le mie risposte'!$D$251</f>
      </c>
      <c r="I102" s="385">
        <f>I101*'Le mie risposte'!$F$251+I100*'Le mie risposte'!$D$251</f>
      </c>
      <c r="J102" s="385">
        <f>J101*'Le mie risposte'!$F$251+J100*'Le mie risposte'!$D$251</f>
      </c>
      <c r="K102" s="385">
        <f>K101*'Le mie risposte'!$F$251+K100*'Le mie risposte'!$D$251</f>
      </c>
      <c r="L102" s="385">
        <f>L101*'Le mie risposte'!$F$251+L100*'Le mie risposte'!$D$251</f>
      </c>
      <c r="M102" s="385">
        <f>M101*'Le mie risposte'!$F$251+M100*'Le mie risposte'!$D$251</f>
      </c>
      <c r="N102" s="385">
        <f>N101*'Le mie risposte'!$F$251+N100*'Le mie risposte'!$D$251</f>
      </c>
      <c r="O102" s="385">
        <f>O101*'Le mie risposte'!$F$251+O100*'Le mie risposte'!$D$251</f>
      </c>
      <c r="P102" s="387">
        <f>SUM(D102:O102)</f>
      </c>
      <c r="Q102" s="372"/>
      <c r="R102" s="372"/>
      <c r="S102" s="372"/>
      <c r="T102" s="372"/>
      <c r="U102" s="372"/>
    </row>
    <row r="103" spans="1:21" ht="14.25" customHeight="1">
      <c r="A103" s="365"/>
      <c r="B103" s="384" t="str">
        <f t="shared" si="26"/>
      </c>
      <c r="C103" s="386"/>
      <c r="D103" s="385">
        <f t="shared" ref="D103:O103" si="27">SUM(D101:D102)</f>
      </c>
      <c r="E103" s="385">
        <f t="shared" si="27"/>
      </c>
      <c r="F103" s="385">
        <f t="shared" si="27"/>
      </c>
      <c r="G103" s="385">
        <f t="shared" si="27"/>
      </c>
      <c r="H103" s="385">
        <f t="shared" si="27"/>
      </c>
      <c r="I103" s="385">
        <f t="shared" si="27"/>
      </c>
      <c r="J103" s="385">
        <f t="shared" si="27"/>
      </c>
      <c r="K103" s="385">
        <f t="shared" si="27"/>
      </c>
      <c r="L103" s="385">
        <f t="shared" si="27"/>
      </c>
      <c r="M103" s="385">
        <f t="shared" si="27"/>
      </c>
      <c r="N103" s="385">
        <f t="shared" si="27"/>
      </c>
      <c r="O103" s="385">
        <f t="shared" si="27"/>
      </c>
      <c r="P103" s="387">
        <f>SUM(D103:O103)</f>
      </c>
      <c r="Q103" s="372"/>
      <c r="R103" s="372"/>
      <c r="S103" s="372"/>
      <c r="T103" s="372"/>
      <c r="U103" s="372"/>
    </row>
    <row r="104" spans="1:21">
      <c r="A104" s="365"/>
      <c r="B104" s="389" t="str">
        <f t="shared" si="26"/>
      </c>
      <c r="C104" s="390"/>
      <c r="D104" s="390">
        <f t="shared" ref="D104:O104" si="28">SUM(D97:D102)</f>
      </c>
      <c r="E104" s="390">
        <f t="shared" si="28"/>
      </c>
      <c r="F104" s="390">
        <f t="shared" si="28"/>
      </c>
      <c r="G104" s="390">
        <f t="shared" si="28"/>
      </c>
      <c r="H104" s="390">
        <f t="shared" si="28"/>
      </c>
      <c r="I104" s="390">
        <f t="shared" si="28"/>
      </c>
      <c r="J104" s="390">
        <f t="shared" si="28"/>
      </c>
      <c r="K104" s="390">
        <f t="shared" si="28"/>
      </c>
      <c r="L104" s="390">
        <f t="shared" si="28"/>
      </c>
      <c r="M104" s="390">
        <f t="shared" si="28"/>
      </c>
      <c r="N104" s="390">
        <f t="shared" si="28"/>
      </c>
      <c r="O104" s="390">
        <f t="shared" si="28"/>
      </c>
      <c r="P104" s="391">
        <f>SUM(C104:O104)</f>
      </c>
      <c r="Q104" s="372"/>
      <c r="R104" s="372"/>
      <c r="S104" s="372"/>
      <c r="T104" s="372"/>
      <c r="U104" s="372"/>
    </row>
    <row r="105" spans="1:21" ht="14.25" customHeight="1">
      <c r="A105" s="365"/>
      <c r="B105" s="379"/>
      <c r="C105" s="379"/>
      <c r="D105" s="379"/>
      <c r="E105" s="379"/>
      <c r="F105" s="379"/>
      <c r="G105" s="379"/>
      <c r="H105" s="379"/>
      <c r="I105" s="379"/>
      <c r="J105" s="379"/>
      <c r="K105" s="379"/>
      <c r="L105" s="379"/>
      <c r="M105" s="379"/>
      <c r="N105" s="379"/>
      <c r="O105" s="379"/>
      <c r="P105" s="379"/>
      <c r="Q105" s="372"/>
      <c r="R105" s="372"/>
      <c r="S105" s="372"/>
      <c r="T105" s="372"/>
      <c r="U105" s="372"/>
    </row>
    <row r="106" spans="1:21" ht="14.25" customHeight="1">
      <c r="A106" s="365"/>
      <c r="B106" s="392" t="str">
        <f t="shared" ref="B106:B121" si="29">B61</f>
      </c>
      <c r="C106" s="393"/>
      <c r="D106" s="393"/>
      <c r="E106" s="393"/>
      <c r="F106" s="393"/>
      <c r="G106" s="393"/>
      <c r="H106" s="393"/>
      <c r="I106" s="393"/>
      <c r="J106" s="393"/>
      <c r="K106" s="393"/>
      <c r="L106" s="393"/>
      <c r="M106" s="393"/>
      <c r="N106" s="393"/>
      <c r="O106" s="393"/>
      <c r="P106" s="393"/>
      <c r="Q106" s="372"/>
      <c r="R106" s="372"/>
      <c r="S106" s="372"/>
      <c r="T106" s="372"/>
      <c r="U106" s="372"/>
    </row>
    <row r="107" spans="1:21" ht="14.25" hidden="1" customHeight="1">
      <c r="A107" s="365"/>
      <c r="B107" s="403" t="str">
        <f t="shared" si="29"/>
      </c>
      <c r="C107" s="404"/>
      <c r="D107" s="405"/>
      <c r="E107" s="405"/>
      <c r="F107" s="405"/>
      <c r="G107" s="405"/>
      <c r="H107" s="405"/>
      <c r="I107" s="405"/>
      <c r="J107" s="405"/>
      <c r="K107" s="405"/>
      <c r="L107" s="405"/>
      <c r="M107" s="405"/>
      <c r="N107" s="405"/>
      <c r="O107" s="405"/>
      <c r="P107" s="406">
        <f>SUM(C107:O107)</f>
      </c>
      <c r="Q107" s="372"/>
      <c r="R107" s="372"/>
      <c r="S107" s="372"/>
      <c r="T107" s="372"/>
      <c r="U107" s="372"/>
    </row>
    <row r="108" spans="1:21" ht="14.25" customHeight="1">
      <c r="A108" s="365"/>
      <c r="B108" s="394" t="str">
        <f t="shared" si="29"/>
      </c>
      <c r="C108" s="395"/>
      <c r="D108" s="395">
        <f>IF(D$92=N$47+dropdowns!$G$7,'Le mie risposte'!$D$219,IF(D$92=O$47+dropdowns!$G$7,'Le mie risposte'!$D$221,IF(D$92=D$92+dropdowns!$G$7,'Le mie risposte'!$D$223,0)))</f>
      </c>
      <c r="E108" s="395">
        <f>IF(E$92=O$47+dropdowns!$G$7,'Le mie risposte'!$D$221,IF(E$92=D$92+dropdowns!$G$7,'Le mie risposte'!$D$223,IF(E$92=E$92+dropdowns!$G$7,'Le mie risposte'!$D$225,0)))</f>
      </c>
      <c r="F108" s="395">
        <f>IF(F$92=D$92+dropdowns!$G$7,'Le mie risposte'!$D$223,IF(F$92=E$92+dropdowns!$G$7,'Le mie risposte'!$D$225,IF(F$92=F$92+dropdowns!$G$7,'Le mie risposte'!$D$227,0)))</f>
      </c>
      <c r="G108" s="395">
        <f>IF(G$92=E$92+dropdowns!$G$7,'Le mie risposte'!$D$225,IF(G$92=F$92+dropdowns!$G$7,'Le mie risposte'!$D$227,IF(G$92=G$92+dropdowns!$G$7,'Le mie risposte'!$D$229,0)))</f>
      </c>
      <c r="H108" s="395">
        <f>IF(H$92=F$92+dropdowns!$G$7,'Le mie risposte'!$D$227,IF(H$92=G$92+dropdowns!$G$7,'Le mie risposte'!$D$229,IF(H$92=H$92+dropdowns!$G$7,'Le mie risposte'!$D$231,0)))</f>
      </c>
      <c r="I108" s="395">
        <f>IF(I$92=G$92+dropdowns!$G$7,'Le mie risposte'!$D$229,IF(I$92=H$92+dropdowns!$G$7,'Le mie risposte'!$D$231,IF(I$92=I$92+dropdowns!$G$7,'Le mie risposte'!$D$233,0)))</f>
      </c>
      <c r="J108" s="395">
        <f>IF(J$92=H$92+dropdowns!$G$7,'Le mie risposte'!$D$231,IF(J$92=I$92+dropdowns!$G$7,'Le mie risposte'!$D$233,IF(J$92=J$92+dropdowns!$G$7,'Le mie risposte'!$D$235,0)))</f>
      </c>
      <c r="K108" s="395">
        <f>IF(K$92=I$92+dropdowns!$G$7,'Le mie risposte'!$D$233,IF(K$92=J$92+dropdowns!$G$7,'Le mie risposte'!$D$235,IF(K$92=K$92+dropdowns!$G$7,'Le mie risposte'!$D$237,0)))</f>
      </c>
      <c r="L108" s="395">
        <f>IF(L$92=J$92+dropdowns!$G$7,'Le mie risposte'!$D$235,IF(L$92=K$92+dropdowns!$G$7,'Le mie risposte'!$D$237,IF(L$92=L$92+dropdowns!$G$7,'Le mie risposte'!$D$239,0)))</f>
      </c>
      <c r="M108" s="395">
        <f>IF(M$92=K$92+dropdowns!$G$7,'Le mie risposte'!$D$237,IF(M$92=L$92+dropdowns!$G$7,'Le mie risposte'!$D$239,IF(M$92=M$92+dropdowns!$G$7,'Le mie risposte'!$D$241,0)))</f>
      </c>
      <c r="N108" s="395">
        <f>IF(N$92=L$92+dropdowns!$G$7,'Le mie risposte'!$D$239,IF(N$92=M$92+dropdowns!$G$7,'Le mie risposte'!$D$241,IF(N$92=N$92+dropdowns!$G$7,'Le mie risposte'!$D$243,0)))</f>
      </c>
      <c r="O108" s="395">
        <f>IF(O$92=M$92+dropdowns!$G$7,'Le mie risposte'!$D$241,IF(O$92=N$92+dropdowns!$G$7,'Le mie risposte'!$D$243,IF(O$92=O$92+dropdowns!$G$7,'Le mie risposte'!$D$245,0)))</f>
      </c>
      <c r="P108" s="397">
        <f>SUM(C108:O108)</f>
      </c>
      <c r="Q108" s="372"/>
      <c r="R108" s="372"/>
      <c r="S108" s="372"/>
      <c r="T108" s="372"/>
      <c r="U108" s="372"/>
    </row>
    <row r="109" spans="1:21" ht="14.25" customHeight="1">
      <c r="A109" s="365"/>
      <c r="B109" s="394" t="str">
        <f t="shared" si="29"/>
      </c>
      <c r="C109" s="395"/>
      <c r="D109" s="395">
        <f>IF(D$92=N$47+dropdowns!$H$7,'Le mie risposte'!$F$219,IF(D$92=O$47+dropdowns!$H$7,'Le mie risposte'!$F$221,IF(D$92=D$92+dropdowns!$H$7,'Le mie risposte'!$F$223,0)))</f>
      </c>
      <c r="E109" s="395">
        <f>IF(E$92=O$47+dropdowns!$H$7,'Le mie risposte'!$F$221,IF(E$92=D$92+dropdowns!$H$7,'Le mie risposte'!$F$223,IF(E$92=E$92+dropdowns!$H$7,'Le mie risposte'!$F$225,0)))</f>
      </c>
      <c r="F109" s="395">
        <f>IF(F$92=D$92+dropdowns!$H$7,'Le mie risposte'!$F$223,IF(F$92=E$92+dropdowns!$H$7,'Le mie risposte'!$F$225,IF(F$92=F$92+dropdowns!$H$7,'Le mie risposte'!$F$227,0)))</f>
      </c>
      <c r="G109" s="395">
        <f>IF(G$92=E$92+dropdowns!$H$7,'Le mie risposte'!$F$225,IF(G$92=F$92+dropdowns!$H$7,'Le mie risposte'!$F$227,IF(G$92=G$92+dropdowns!$H$7,'Le mie risposte'!$F$229,0)))</f>
      </c>
      <c r="H109" s="395">
        <f>IF(H$92=F$92+dropdowns!$H$7,'Le mie risposte'!$F$227,IF(H$92=G$92+dropdowns!$H$7,'Le mie risposte'!$F$229,IF(H$92=H$92+dropdowns!$H$7,'Le mie risposte'!$F$231,0)))</f>
      </c>
      <c r="I109" s="395">
        <f>IF(I$92=G$92+dropdowns!$H$7,'Le mie risposte'!$F$229,IF(I$92=H$92+dropdowns!$H$7,'Le mie risposte'!$F$231,IF(I$92=I$92+dropdowns!$H$7,'Le mie risposte'!$F$233,0)))</f>
      </c>
      <c r="J109" s="395">
        <f>IF(J$92=H$92+dropdowns!$H$7,'Le mie risposte'!$F$231,IF(J$92=I$92+dropdowns!$H$7,'Le mie risposte'!$F$233,IF(J$92=J$92+dropdowns!$H$7,'Le mie risposte'!$F$235,0)))</f>
      </c>
      <c r="K109" s="395">
        <f>IF(K$92=I$92+dropdowns!$H$7,'Le mie risposte'!$F$233,IF(K$92=J$92+dropdowns!$H$7,'Le mie risposte'!$F$235,IF(K$92=K$92+dropdowns!$H$7,'Le mie risposte'!$F$237,0)))</f>
      </c>
      <c r="L109" s="395">
        <f>IF(L$92=J$92+dropdowns!$H$7,'Le mie risposte'!$F$235,IF(L$92=K$92+dropdowns!$H$7,'Le mie risposte'!$F$237,IF(L$92=L$92+dropdowns!$H$7,'Le mie risposte'!$F$239,0)))</f>
      </c>
      <c r="M109" s="395">
        <f>IF(M$92=K$92+dropdowns!$H$7,'Le mie risposte'!$F$237,IF(M$92=L$92+dropdowns!$H$7,'Le mie risposte'!$F$239,IF(M$92=M$92+dropdowns!$H$7,'Le mie risposte'!$F$241,0)))</f>
      </c>
      <c r="N109" s="395">
        <f>IF(N$92=L$92+dropdowns!$H$7,'Le mie risposte'!$F$239,IF(N$92=M$92+dropdowns!$H$7,'Le mie risposte'!$F$241,IF(N$92=N$92+dropdowns!$H$7,'Le mie risposte'!$F$243,0)))</f>
      </c>
      <c r="O109" s="395">
        <f>IF(O$92=M$92+dropdowns!$H$7,'Le mie risposte'!$F$241,IF(O$92=N$92+dropdowns!$H$7,'Le mie risposte'!$F$243,IF(O$92=O$92+dropdowns!$H$7,'Le mie risposte'!$F$245,0)))</f>
      </c>
      <c r="P109" s="397">
        <f>SUM(C109:O109)</f>
      </c>
      <c r="Q109" s="372"/>
      <c r="R109" s="372"/>
      <c r="S109" s="372"/>
      <c r="T109" s="372"/>
      <c r="U109" s="372"/>
    </row>
    <row r="110" spans="1:21" ht="14.25" customHeight="1">
      <c r="A110" s="365"/>
      <c r="B110" s="394" t="str">
        <f t="shared" si="29"/>
      </c>
      <c r="C110" s="395"/>
      <c r="D110" s="395">
        <f>(D108*IF('Le mie risposte'!$D$169="",0,'Le mie risposte'!$D$169))+(D109*IF('Le mie risposte'!$F$169="",0,'Le mie risposte'!$F$169))</f>
      </c>
      <c r="E110" s="395">
        <f>(E108*IF('Le mie risposte'!$D$169="",0,'Le mie risposte'!$D$169))+(E109*IF('Le mie risposte'!$F$169="",0,'Le mie risposte'!$F$169))</f>
      </c>
      <c r="F110" s="395">
        <f>(F108*IF('Le mie risposte'!$D$169="",0,'Le mie risposte'!$D$169))+(F109*IF('Le mie risposte'!$F$169="",0,'Le mie risposte'!$F$169))</f>
      </c>
      <c r="G110" s="395">
        <f>(G108*IF('Le mie risposte'!$D$169="",0,'Le mie risposte'!$D$169))+(G109*IF('Le mie risposte'!$F$169="",0,'Le mie risposte'!$F$169))</f>
      </c>
      <c r="H110" s="395">
        <f>(H108*IF('Le mie risposte'!$D$169="",0,'Le mie risposte'!$D$169))+(H109*IF('Le mie risposte'!$F$169="",0,'Le mie risposte'!$F$169))</f>
      </c>
      <c r="I110" s="395">
        <f>(I108*IF('Le mie risposte'!$D$169="",0,'Le mie risposte'!$D$169))+(I109*IF('Le mie risposte'!$F$169="",0,'Le mie risposte'!$F$169))</f>
      </c>
      <c r="J110" s="395">
        <f>(J108*IF('Le mie risposte'!$D$169="",0,'Le mie risposte'!$D$169))+(J109*IF('Le mie risposte'!$F$169="",0,'Le mie risposte'!$F$169))</f>
      </c>
      <c r="K110" s="395">
        <f>(K108*IF('Le mie risposte'!$D$169="",0,'Le mie risposte'!$D$169))+(K109*IF('Le mie risposte'!$F$169="",0,'Le mie risposte'!$F$169))</f>
      </c>
      <c r="L110" s="395">
        <f>(L108*IF('Le mie risposte'!$D$169="",0,'Le mie risposte'!$D$169))+(L109*IF('Le mie risposte'!$F$169="",0,'Le mie risposte'!$F$169))</f>
      </c>
      <c r="M110" s="395">
        <f>(M108*IF('Le mie risposte'!$D$169="",0,'Le mie risposte'!$D$169))+(M109*IF('Le mie risposte'!$F$169="",0,'Le mie risposte'!$F$169))</f>
      </c>
      <c r="N110" s="395">
        <f>(N108*IF('Le mie risposte'!$D$169="",0,'Le mie risposte'!$D$169))+(N109*IF('Le mie risposte'!$F$169="",0,'Le mie risposte'!$F$169))</f>
      </c>
      <c r="O110" s="395">
        <f>(O108*IF('Le mie risposte'!$D$169="",0,'Le mie risposte'!$D$169))+(O109*IF('Le mie risposte'!$F$169="",0,'Le mie risposte'!$F$169))</f>
      </c>
      <c r="P110" s="397">
        <f>SUM(C110:O110)</f>
      </c>
      <c r="Q110" s="372"/>
      <c r="R110" s="372"/>
      <c r="S110" s="372"/>
      <c r="T110" s="372"/>
      <c r="U110" s="372"/>
    </row>
    <row r="111" spans="1:21" ht="14.25" customHeight="1">
      <c r="A111" s="365"/>
      <c r="B111" s="394" t="str">
        <f t="shared" si="29"/>
      </c>
      <c r="C111" s="396"/>
      <c r="D111" s="363">
        <f>O66</f>
      </c>
      <c r="E111" s="363">
        <f>D111</f>
      </c>
      <c r="F111" s="363">
        <f t="shared" ref="F111:O111" si="30">E111</f>
      </c>
      <c r="G111" s="363">
        <f t="shared" si="30"/>
      </c>
      <c r="H111" s="363">
        <f t="shared" si="30"/>
      </c>
      <c r="I111" s="363">
        <f t="shared" si="30"/>
      </c>
      <c r="J111" s="363">
        <f t="shared" si="30"/>
      </c>
      <c r="K111" s="363">
        <f t="shared" si="30"/>
      </c>
      <c r="L111" s="363">
        <f t="shared" si="30"/>
      </c>
      <c r="M111" s="363">
        <f t="shared" si="30"/>
      </c>
      <c r="N111" s="363">
        <f t="shared" si="30"/>
      </c>
      <c r="O111" s="363">
        <f t="shared" si="30"/>
      </c>
      <c r="P111" s="397">
        <f>SUM(D111:O111)</f>
      </c>
      <c r="Q111" s="372"/>
      <c r="R111" s="372"/>
      <c r="S111" s="398"/>
      <c r="T111" s="429"/>
      <c r="U111" s="429"/>
    </row>
    <row r="112" spans="1:21" ht="14.25" customHeight="1">
      <c r="A112" s="365"/>
      <c r="B112" s="394" t="str">
        <f t="shared" si="29"/>
      </c>
      <c r="C112" s="396"/>
      <c r="D112" s="363">
        <f>O67</f>
      </c>
      <c r="E112" s="363">
        <f>D112</f>
      </c>
      <c r="F112" s="363">
        <f t="shared" ref="F112:O112" si="31">E112</f>
      </c>
      <c r="G112" s="363">
        <f t="shared" si="31"/>
      </c>
      <c r="H112" s="363">
        <f t="shared" si="31"/>
      </c>
      <c r="I112" s="363">
        <f t="shared" si="31"/>
      </c>
      <c r="J112" s="363">
        <f t="shared" si="31"/>
      </c>
      <c r="K112" s="363">
        <f t="shared" si="31"/>
      </c>
      <c r="L112" s="363">
        <f t="shared" si="31"/>
      </c>
      <c r="M112" s="363">
        <f t="shared" si="31"/>
      </c>
      <c r="N112" s="363">
        <f t="shared" si="31"/>
      </c>
      <c r="O112" s="363">
        <f t="shared" si="31"/>
      </c>
      <c r="P112" s="397">
        <f>SUM(D112:O112)</f>
      </c>
      <c r="Q112" s="372"/>
      <c r="R112" s="372"/>
      <c r="S112" s="399"/>
      <c r="T112" s="429"/>
      <c r="U112" s="429"/>
    </row>
    <row r="113" spans="1:21" ht="14.25" customHeight="1">
      <c r="A113" s="365"/>
      <c r="B113" s="394" t="str">
        <f t="shared" si="29"/>
      </c>
      <c r="C113" s="396"/>
      <c r="D113" s="363">
        <f>O68</f>
      </c>
      <c r="E113" s="363">
        <f t="shared" ref="E113:O113" si="32">D113</f>
      </c>
      <c r="F113" s="363">
        <f>E113</f>
      </c>
      <c r="G113" s="363">
        <f t="shared" si="32"/>
      </c>
      <c r="H113" s="363">
        <f t="shared" si="32"/>
      </c>
      <c r="I113" s="363">
        <f t="shared" si="32"/>
      </c>
      <c r="J113" s="363">
        <f t="shared" si="32"/>
      </c>
      <c r="K113" s="363">
        <f t="shared" si="32"/>
      </c>
      <c r="L113" s="363">
        <f t="shared" si="32"/>
      </c>
      <c r="M113" s="363">
        <f t="shared" si="32"/>
      </c>
      <c r="N113" s="363">
        <f t="shared" si="32"/>
      </c>
      <c r="O113" s="363">
        <f t="shared" si="32"/>
      </c>
      <c r="P113" s="397">
        <f>SUM(D113:O113)</f>
      </c>
      <c r="Q113" s="372"/>
      <c r="R113" s="372"/>
      <c r="S113" s="399"/>
      <c r="T113" s="429"/>
      <c r="U113" s="429"/>
    </row>
    <row r="114" spans="1:21" ht="14.25" customHeight="1">
      <c r="A114" s="365"/>
      <c r="B114" s="394" t="str">
        <f t="shared" si="29"/>
      </c>
      <c r="C114" s="395"/>
      <c r="D114" s="363">
        <f>O69</f>
      </c>
      <c r="E114" s="363">
        <f t="shared" ref="E114:O114" si="33">D114</f>
      </c>
      <c r="F114" s="363">
        <f t="shared" si="33"/>
      </c>
      <c r="G114" s="363">
        <f t="shared" si="33"/>
      </c>
      <c r="H114" s="363">
        <f t="shared" si="33"/>
      </c>
      <c r="I114" s="363">
        <f t="shared" si="33"/>
      </c>
      <c r="J114" s="363">
        <f t="shared" si="33"/>
      </c>
      <c r="K114" s="363">
        <f t="shared" si="33"/>
      </c>
      <c r="L114" s="363">
        <f t="shared" si="33"/>
      </c>
      <c r="M114" s="363">
        <f t="shared" si="33"/>
      </c>
      <c r="N114" s="363">
        <f t="shared" si="33"/>
      </c>
      <c r="O114" s="363">
        <f t="shared" si="33"/>
      </c>
      <c r="P114" s="397">
        <f>SUM(C114:O114)</f>
      </c>
      <c r="Q114" s="372"/>
      <c r="R114" s="372"/>
      <c r="S114" s="398"/>
      <c r="T114" s="429"/>
      <c r="U114" s="429"/>
    </row>
    <row r="115" spans="1:21" ht="14.25" customHeight="1">
      <c r="A115" s="365"/>
      <c r="B115" s="394" t="str">
        <f t="shared" si="29"/>
      </c>
      <c r="C115" s="396"/>
      <c r="D115" s="363">
        <f>O70</f>
      </c>
      <c r="E115" s="363">
        <f t="shared" ref="E115:O115" si="34">D115</f>
      </c>
      <c r="F115" s="363">
        <f t="shared" si="34"/>
      </c>
      <c r="G115" s="363">
        <f t="shared" si="34"/>
      </c>
      <c r="H115" s="363">
        <f t="shared" si="34"/>
      </c>
      <c r="I115" s="363">
        <f t="shared" si="34"/>
      </c>
      <c r="J115" s="363">
        <f t="shared" si="34"/>
      </c>
      <c r="K115" s="363">
        <f t="shared" si="34"/>
      </c>
      <c r="L115" s="363">
        <f t="shared" si="34"/>
      </c>
      <c r="M115" s="363">
        <f t="shared" si="34"/>
      </c>
      <c r="N115" s="363">
        <f t="shared" si="34"/>
      </c>
      <c r="O115" s="363">
        <f t="shared" si="34"/>
      </c>
      <c r="P115" s="397">
        <f>SUM(C115:O115)</f>
      </c>
      <c r="Q115" s="372"/>
      <c r="R115" s="372"/>
      <c r="S115" s="398"/>
      <c r="T115" s="429"/>
      <c r="U115" s="429"/>
    </row>
    <row r="116" spans="1:21" ht="14.25" customHeight="1">
      <c r="A116" s="365"/>
      <c r="B116" s="394" t="str">
        <f t="shared" si="29"/>
      </c>
      <c r="C116" s="395"/>
      <c r="D116" s="363">
        <f>(D112+D113+D114+D115)*IF('Le mie risposte'!$D$251&gt;0,'Le mie risposte'!$D$251,IF('Le mie risposte'!$F$251&gt;0,'Le mie risposte'!$F$251,0))</f>
      </c>
      <c r="E116" s="363">
        <f>(E112+E113+E114+E115)*IF('Le mie risposte'!$D$251&gt;0,'Le mie risposte'!$D$251,IF('Le mie risposte'!$F$251&gt;0,'Le mie risposte'!$F$251,0))</f>
      </c>
      <c r="F116" s="363">
        <f>(F112+F113+F114+F115)*IF('Le mie risposte'!$D$251&gt;0,'Le mie risposte'!$D$251,IF('Le mie risposte'!$F$251&gt;0,'Le mie risposte'!$F$251,0))</f>
      </c>
      <c r="G116" s="363">
        <f>(G112+G113+G114+G115)*IF('Le mie risposte'!$D$251&gt;0,'Le mie risposte'!$D$251,IF('Le mie risposte'!$F$251&gt;0,'Le mie risposte'!$F$251,0))</f>
      </c>
      <c r="H116" s="363">
        <f>(H112+H113+H114+H115)*IF('Le mie risposte'!$D$251&gt;0,'Le mie risposte'!$D$251,IF('Le mie risposte'!$F$251&gt;0,'Le mie risposte'!$F$251,0))</f>
      </c>
      <c r="I116" s="363">
        <f>(I112+I113+I114+I115)*IF('Le mie risposte'!$D$251&gt;0,'Le mie risposte'!$D$251,IF('Le mie risposte'!$F$251&gt;0,'Le mie risposte'!$F$251,0))</f>
      </c>
      <c r="J116" s="363">
        <f>(J112+J113+J114+J115)*IF('Le mie risposte'!$D$251&gt;0,'Le mie risposte'!$D$251,IF('Le mie risposte'!$F$251&gt;0,'Le mie risposte'!$F$251,0))</f>
      </c>
      <c r="K116" s="363">
        <f>(K112+K113+K114+K115)*IF('Le mie risposte'!$D$251&gt;0,'Le mie risposte'!$D$251,IF('Le mie risposte'!$F$251&gt;0,'Le mie risposte'!$F$251,0))</f>
      </c>
      <c r="L116" s="363">
        <f>(L112+L113+L114+L115)*IF('Le mie risposte'!$D$251&gt;0,'Le mie risposte'!$D$251,IF('Le mie risposte'!$F$251&gt;0,'Le mie risposte'!$F$251,0))</f>
      </c>
      <c r="M116" s="363">
        <f>(M112+M113+M114+M115)*IF('Le mie risposte'!$D$251&gt;0,'Le mie risposte'!$D$251,IF('Le mie risposte'!$F$251&gt;0,'Le mie risposte'!$F$251,0))</f>
      </c>
      <c r="N116" s="363">
        <f>(N112+N113+N114+N115)*IF('Le mie risposte'!$D$251&gt;0,'Le mie risposte'!$D$251,IF('Le mie risposte'!$F$251&gt;0,'Le mie risposte'!$F$251,0))</f>
      </c>
      <c r="O116" s="363">
        <f>(O112+O113+O114+O115)*IF('Le mie risposte'!$D$251&gt;0,'Le mie risposte'!$D$251,IF('Le mie risposte'!$F$251&gt;0,'Le mie risposte'!$F$251,0))</f>
      </c>
      <c r="P116" s="397">
        <f>SUM(C116:O116)</f>
      </c>
      <c r="Q116" s="372"/>
      <c r="R116" s="372"/>
      <c r="S116" s="372"/>
      <c r="T116" s="372"/>
      <c r="U116" s="372"/>
    </row>
    <row r="117" spans="1:21" ht="14.25" customHeight="1">
      <c r="A117" s="365"/>
      <c r="B117" s="394" t="str">
        <f t="shared" si="29"/>
      </c>
      <c r="C117" s="396"/>
      <c r="D117" s="364">
        <f t="shared" ref="D117:O117" si="35">D102-D110-D116</f>
      </c>
      <c r="E117" s="364">
        <f t="shared" si="35"/>
      </c>
      <c r="F117" s="364">
        <f t="shared" si="35"/>
      </c>
      <c r="G117" s="364">
        <f t="shared" si="35"/>
      </c>
      <c r="H117" s="364">
        <f t="shared" si="35"/>
      </c>
      <c r="I117" s="364">
        <f t="shared" si="35"/>
      </c>
      <c r="J117" s="364">
        <f t="shared" si="35"/>
      </c>
      <c r="K117" s="364">
        <f t="shared" si="35"/>
      </c>
      <c r="L117" s="364">
        <f t="shared" si="35"/>
      </c>
      <c r="M117" s="364">
        <f t="shared" si="35"/>
      </c>
      <c r="N117" s="364">
        <f t="shared" si="35"/>
      </c>
      <c r="O117" s="364">
        <f t="shared" si="35"/>
      </c>
      <c r="P117" s="397">
        <f>SUM(D117:O117)</f>
      </c>
      <c r="Q117" s="372"/>
      <c r="R117" s="372"/>
      <c r="S117" s="372"/>
      <c r="T117" s="372"/>
      <c r="U117" s="372"/>
    </row>
    <row r="118" spans="1:21" ht="14.25" customHeight="1">
      <c r="A118" s="365"/>
      <c r="B118" s="394" t="str">
        <f t="shared" si="29"/>
      </c>
      <c r="C118" s="396"/>
      <c r="D118" s="363">
        <f>IF('Le mie risposte'!$F$125="",0,'Le mie risposte'!$F$125)+IF('Le mie risposte'!$F$133="",0,'Le mie risposte'!$F$133)</f>
      </c>
      <c r="E118" s="363">
        <f>IF('Le mie risposte'!$F$125="",0,'Le mie risposte'!$F$125)+IF('Le mie risposte'!$F$133="",0,'Le mie risposte'!$F$133)</f>
      </c>
      <c r="F118" s="363">
        <f>IF('Le mie risposte'!$F$125="",0,'Le mie risposte'!$F$125)+IF('Le mie risposte'!$F$133="",0,'Le mie risposte'!$F$133)</f>
      </c>
      <c r="G118" s="363">
        <f>IF('Le mie risposte'!$F$125="",0,'Le mie risposte'!$F$125)+IF('Le mie risposte'!$F$133="",0,'Le mie risposte'!$F$133)</f>
      </c>
      <c r="H118" s="363">
        <f>IF('Le mie risposte'!$F$125="",0,'Le mie risposte'!$F$125)+IF('Le mie risposte'!$F$133="",0,'Le mie risposte'!$F$133)</f>
      </c>
      <c r="I118" s="363">
        <f>IF('Le mie risposte'!$F$125="",0,'Le mie risposte'!$F$125)+IF('Le mie risposte'!$F$133="",0,'Le mie risposte'!$F$133)</f>
      </c>
      <c r="J118" s="363">
        <f>IF('Le mie risposte'!$F$125="",0,'Le mie risposte'!$F$125)+IF('Le mie risposte'!$F$133="",0,'Le mie risposte'!$F$133)</f>
      </c>
      <c r="K118" s="363">
        <f>IF('Le mie risposte'!$F$125="",0,'Le mie risposte'!$F$125)+IF('Le mie risposte'!$F$133="",0,'Le mie risposte'!$F$133)</f>
      </c>
      <c r="L118" s="363">
        <f>IF('Le mie risposte'!$F$125="",0,'Le mie risposte'!$F$125)+IF('Le mie risposte'!$F$133="",0,'Le mie risposte'!$F$133)</f>
      </c>
      <c r="M118" s="363">
        <f>IF('Le mie risposte'!$F$125="",0,'Le mie risposte'!$F$125)+IF('Le mie risposte'!$F$133="",0,'Le mie risposte'!$F$133)</f>
      </c>
      <c r="N118" s="363">
        <f>IF('Le mie risposte'!$F$125="",0,'Le mie risposte'!$F$125)+IF('Le mie risposte'!$F$133="",0,'Le mie risposte'!$F$133)</f>
      </c>
      <c r="O118" s="363">
        <f>IF('Le mie risposte'!$F$125="",0,'Le mie risposte'!$F$125)+IF('Le mie risposte'!$F$133="",0,'Le mie risposte'!$F$133)</f>
      </c>
      <c r="P118" s="397">
        <f>SUM(D118:O118)</f>
      </c>
      <c r="Q118" s="372"/>
      <c r="R118" s="372"/>
      <c r="S118" s="372"/>
      <c r="T118" s="372"/>
      <c r="U118" s="372"/>
    </row>
    <row r="119" spans="1:21" ht="14.25" customHeight="1">
      <c r="A119" s="365"/>
      <c r="B119" s="394" t="str">
        <f t="shared" si="29"/>
      </c>
      <c r="C119" s="396"/>
      <c r="D119" s="363">
        <f>IF(AND(D92&gt;=dropdowns!$G$155,D92&lt;dropdowns!$G$155+'Le mie risposte'!$G$129),'Le mie risposte'!$F$127,0)+IF(AND(D92&gt;=dropdowns!$G$156,D92&lt;dropdowns!$G$156+'Le mie risposte'!$G$137),'Le mie risposte'!$F$135,0)</f>
      </c>
      <c r="E119" s="363">
        <f>IF(AND(E92&gt;=dropdowns!$G$155,E92&lt;dropdowns!$G$155+'Le mie risposte'!$G$129),'Le mie risposte'!$F$127,0)+IF(AND(E92&gt;=dropdowns!$G$156,E92&lt;dropdowns!$G$156+'Le mie risposte'!$G$137),'Le mie risposte'!$F$135,0)</f>
      </c>
      <c r="F119" s="363">
        <f>IF(AND(F92&gt;=dropdowns!$G$155,F92&lt;dropdowns!$G$155+'Le mie risposte'!$G$129),'Le mie risposte'!$F$127,0)+IF(AND(F92&gt;=dropdowns!$G$156,F92&lt;dropdowns!$G$156+'Le mie risposte'!$G$137),'Le mie risposte'!$F$135,0)</f>
      </c>
      <c r="G119" s="363">
        <f>IF(AND(G92&gt;=dropdowns!$G$155,G92&lt;dropdowns!$G$155+'Le mie risposte'!$G$129),'Le mie risposte'!$F$127,0)+IF(AND(G92&gt;=dropdowns!$G$156,G92&lt;dropdowns!$G$156+'Le mie risposte'!$G$137),'Le mie risposte'!$F$135,0)</f>
      </c>
      <c r="H119" s="363">
        <f>IF(AND(H92&gt;=dropdowns!$G$155,H92&lt;dropdowns!$G$155+'Le mie risposte'!$G$129),'Le mie risposte'!$F$127,0)+IF(AND(H92&gt;=dropdowns!$G$156,H92&lt;dropdowns!$G$156+'Le mie risposte'!$G$137),'Le mie risposte'!$F$135,0)</f>
      </c>
      <c r="I119" s="363">
        <f>IF(AND(I92&gt;=dropdowns!$G$155,I92&lt;dropdowns!$G$155+'Le mie risposte'!$G$129),'Le mie risposte'!$F$127,0)+IF(AND(I92&gt;=dropdowns!$G$156,I92&lt;dropdowns!$G$156+'Le mie risposte'!$G$137),'Le mie risposte'!$F$135,0)</f>
      </c>
      <c r="J119" s="363">
        <f>IF(AND(J92&gt;=dropdowns!$G$155,J92&lt;dropdowns!$G$155+'Le mie risposte'!$G$129),'Le mie risposte'!$F$127,0)+IF(AND(J92&gt;=dropdowns!$G$156,J92&lt;dropdowns!$G$156+'Le mie risposte'!$G$137),'Le mie risposte'!$F$135,0)</f>
      </c>
      <c r="K119" s="363">
        <f>IF(AND(K92&gt;=dropdowns!$G$155,K92&lt;dropdowns!$G$155+'Le mie risposte'!$G$129),'Le mie risposte'!$F$127,0)+IF(AND(K92&gt;=dropdowns!$G$156,K92&lt;dropdowns!$G$156+'Le mie risposte'!$G$137),'Le mie risposte'!$F$135,0)</f>
      </c>
      <c r="L119" s="363">
        <f>IF(AND(L92&gt;=dropdowns!$G$155,L92&lt;dropdowns!$G$155+'Le mie risposte'!$G$129),'Le mie risposte'!$F$127,0)+IF(AND(L92&gt;=dropdowns!$G$156,L92&lt;dropdowns!$G$156+'Le mie risposte'!$G$137),'Le mie risposte'!$F$135,0)</f>
      </c>
      <c r="M119" s="363">
        <f>IF(AND(M92&gt;=dropdowns!$G$155,M92&lt;dropdowns!$G$155+'Le mie risposte'!$G$129),'Le mie risposte'!$F$127,0)+IF(AND(M92&gt;=dropdowns!$G$156,M92&lt;dropdowns!$G$156+'Le mie risposte'!$G$137),'Le mie risposte'!$F$135,0)</f>
      </c>
      <c r="N119" s="363">
        <f>IF(AND(N92&gt;=dropdowns!$G$155,N92&lt;dropdowns!$G$155+'Le mie risposte'!$G$129),'Le mie risposte'!$F$127,0)+IF(AND(N92&gt;=dropdowns!$G$156,N92&lt;dropdowns!$G$156+'Le mie risposte'!$G$137),'Le mie risposte'!$F$135,0)</f>
      </c>
      <c r="O119" s="363">
        <f>IF(AND(O92&gt;=dropdowns!$G$155,O92&lt;dropdowns!$G$155+'Le mie risposte'!$G$129),'Le mie risposte'!$F$127,0)+IF(AND(O92&gt;=dropdowns!$G$156,O92&lt;dropdowns!$G$156+'Le mie risposte'!$G$137),'Le mie risposte'!$F$135,0)</f>
      </c>
      <c r="P119" s="397">
        <f>SUM(D119:O119)</f>
      </c>
      <c r="Q119" s="372"/>
      <c r="R119" s="372"/>
      <c r="S119" s="372"/>
      <c r="T119" s="372"/>
      <c r="U119" s="372"/>
    </row>
    <row r="120" spans="1:21" ht="14.25" customHeight="1">
      <c r="A120" s="365"/>
      <c r="B120" s="394" t="str">
        <f t="shared" si="29"/>
      </c>
      <c r="C120" s="396"/>
      <c r="D120" s="363">
        <f>'Oneri mensili'!C34</f>
      </c>
      <c r="E120" s="363">
        <f>'Oneri mensili'!D34</f>
      </c>
      <c r="F120" s="363">
        <f>'Oneri mensili'!E34</f>
      </c>
      <c r="G120" s="363">
        <f>'Oneri mensili'!F34</f>
      </c>
      <c r="H120" s="363">
        <f>'Oneri mensili'!G34</f>
      </c>
      <c r="I120" s="363">
        <f>'Oneri mensili'!H34</f>
      </c>
      <c r="J120" s="363">
        <f>'Oneri mensili'!I34</f>
      </c>
      <c r="K120" s="363">
        <f>'Oneri mensili'!J34</f>
      </c>
      <c r="L120" s="363">
        <f>'Oneri mensili'!K34</f>
      </c>
      <c r="M120" s="363">
        <f>'Oneri mensili'!L34</f>
      </c>
      <c r="N120" s="363">
        <f>'Oneri mensili'!M34</f>
      </c>
      <c r="O120" s="363">
        <f>'Oneri mensili'!N34</f>
      </c>
      <c r="P120" s="397">
        <f>SUM(D120:O120)</f>
      </c>
      <c r="Q120" s="372"/>
      <c r="R120" s="372"/>
      <c r="S120" s="372"/>
      <c r="T120" s="372"/>
      <c r="U120" s="372"/>
    </row>
    <row r="121" spans="1:21" ht="14.25" customHeight="1">
      <c r="A121" s="365"/>
      <c r="B121" s="394" t="str">
        <f t="shared" si="29"/>
      </c>
      <c r="C121" s="396"/>
      <c r="D121" s="363">
        <f>'Oneri mensili'!C135</f>
      </c>
      <c r="E121" s="363">
        <f>'Oneri mensili'!D135</f>
      </c>
      <c r="F121" s="363">
        <f>'Oneri mensili'!E135</f>
      </c>
      <c r="G121" s="363">
        <f>'Oneri mensili'!F135</f>
      </c>
      <c r="H121" s="363">
        <f>'Oneri mensili'!G135</f>
      </c>
      <c r="I121" s="363">
        <f>'Oneri mensili'!H135</f>
      </c>
      <c r="J121" s="363">
        <f>'Oneri mensili'!I135</f>
      </c>
      <c r="K121" s="363">
        <f>'Oneri mensili'!J135</f>
      </c>
      <c r="L121" s="363">
        <f>'Oneri mensili'!K135</f>
      </c>
      <c r="M121" s="363">
        <f>'Oneri mensili'!L135</f>
      </c>
      <c r="N121" s="363">
        <f>'Oneri mensili'!M135</f>
      </c>
      <c r="O121" s="363">
        <f>'Oneri mensili'!N135</f>
      </c>
      <c r="P121" s="397">
        <f>SUM(D121:O121)</f>
      </c>
      <c r="Q121" s="372"/>
      <c r="R121" s="372"/>
      <c r="S121" s="372"/>
      <c r="T121" s="372"/>
      <c r="U121" s="372"/>
    </row>
    <row r="122" spans="1:21" ht="14.25" customHeight="1">
      <c r="A122" s="365"/>
      <c r="B122" s="384" t="s">
        <v>1858</v>
      </c>
      <c r="C122" s="396"/>
      <c r="D122" s="363">
        <f>$P$122/12</f>
      </c>
      <c r="E122" s="363">
        <f t="shared" ref="E122:O122" si="36">$P$122/12</f>
      </c>
      <c r="F122" s="363">
        <f t="shared" si="36"/>
      </c>
      <c r="G122" s="363">
        <f t="shared" si="36"/>
      </c>
      <c r="H122" s="363">
        <f t="shared" si="36"/>
      </c>
      <c r="I122" s="363">
        <f t="shared" si="36"/>
      </c>
      <c r="J122" s="363">
        <f t="shared" si="36"/>
      </c>
      <c r="K122" s="363">
        <f t="shared" si="36"/>
      </c>
      <c r="L122" s="363">
        <f t="shared" si="36"/>
      </c>
      <c r="M122" s="363">
        <f t="shared" si="36"/>
      </c>
      <c r="N122" s="363">
        <f t="shared" si="36"/>
      </c>
      <c r="O122" s="363">
        <f t="shared" si="36"/>
      </c>
      <c r="P122" s="397">
        <f>'Previsione di gestione'!E33</f>
      </c>
      <c r="Q122" s="372"/>
      <c r="R122" s="372"/>
      <c r="S122" s="372"/>
      <c r="T122" s="372"/>
      <c r="U122" s="372"/>
    </row>
    <row r="123" spans="1:21" ht="14.25" customHeight="1">
      <c r="A123" s="365"/>
      <c r="B123" s="400" t="str">
        <f>'Le mie risposte'!$D$13</f>
      </c>
      <c r="C123" s="386"/>
      <c r="D123" s="386"/>
      <c r="E123" s="386"/>
      <c r="F123" s="386"/>
      <c r="G123" s="386"/>
      <c r="H123" s="386"/>
      <c r="I123" s="386"/>
      <c r="J123" s="386"/>
      <c r="K123" s="386"/>
      <c r="L123" s="386"/>
      <c r="M123" s="386"/>
      <c r="N123" s="386"/>
      <c r="O123" s="386"/>
      <c r="P123" s="387"/>
      <c r="Q123" s="372"/>
      <c r="R123" s="372"/>
      <c r="S123" s="372"/>
      <c r="T123" s="372"/>
      <c r="U123" s="372"/>
    </row>
    <row r="124" spans="1:21" ht="14.25" customHeight="1">
      <c r="A124" s="365"/>
      <c r="B124" s="384" t="str">
        <f>B79</f>
      </c>
      <c r="C124" s="386"/>
      <c r="D124" s="385">
        <f>$P$124/12</f>
      </c>
      <c r="E124" s="385">
        <f t="shared" ref="E124:O124" si="37">$P$124/12</f>
      </c>
      <c r="F124" s="385">
        <f t="shared" si="37"/>
      </c>
      <c r="G124" s="385">
        <f t="shared" si="37"/>
      </c>
      <c r="H124" s="385">
        <f t="shared" si="37"/>
      </c>
      <c r="I124" s="385">
        <f t="shared" si="37"/>
      </c>
      <c r="J124" s="385">
        <f t="shared" si="37"/>
      </c>
      <c r="K124" s="385">
        <f t="shared" si="37"/>
      </c>
      <c r="L124" s="385">
        <f t="shared" si="37"/>
      </c>
      <c r="M124" s="385">
        <f t="shared" si="37"/>
      </c>
      <c r="N124" s="385">
        <f t="shared" si="37"/>
      </c>
      <c r="O124" s="385">
        <f t="shared" si="37"/>
      </c>
      <c r="P124" s="387">
        <f>IF('Le mie risposte'!D7="impresa individuale",0,IF('Le mie risposte'!D7="Società di persone",'Previsione di gestione'!E38,IF('Le mie risposte'!D7="società di capitali",0,0)))</f>
      </c>
      <c r="Q124" s="372"/>
      <c r="R124" s="372"/>
      <c r="S124" s="398"/>
      <c r="T124" s="372"/>
      <c r="U124" s="372"/>
    </row>
    <row r="125" spans="1:21" ht="14.25" customHeight="1">
      <c r="A125" s="365"/>
      <c r="B125" s="400" t="str">
        <f>'Le mie risposte'!$F$13</f>
      </c>
      <c r="C125" s="386"/>
      <c r="D125" s="386"/>
      <c r="E125" s="386"/>
      <c r="F125" s="386"/>
      <c r="G125" s="386"/>
      <c r="H125" s="386"/>
      <c r="I125" s="386"/>
      <c r="J125" s="386"/>
      <c r="K125" s="386"/>
      <c r="L125" s="386"/>
      <c r="M125" s="386"/>
      <c r="N125" s="386"/>
      <c r="O125" s="386"/>
      <c r="P125" s="387"/>
      <c r="Q125" s="372"/>
      <c r="R125" s="372"/>
      <c r="S125" s="398"/>
      <c r="T125" s="372"/>
      <c r="U125" s="372"/>
    </row>
    <row r="126" spans="1:21" ht="14.25" customHeight="1">
      <c r="A126" s="365"/>
      <c r="B126" s="384" t="str">
        <f>B81</f>
      </c>
      <c r="C126" s="386"/>
      <c r="D126" s="385">
        <f>$P$126/12</f>
      </c>
      <c r="E126" s="385">
        <f t="shared" ref="E126:O126" si="38">$P$126/12</f>
      </c>
      <c r="F126" s="385">
        <f t="shared" si="38"/>
      </c>
      <c r="G126" s="385">
        <f t="shared" si="38"/>
      </c>
      <c r="H126" s="385">
        <f t="shared" si="38"/>
      </c>
      <c r="I126" s="385">
        <f t="shared" si="38"/>
      </c>
      <c r="J126" s="385">
        <f t="shared" si="38"/>
      </c>
      <c r="K126" s="385">
        <f t="shared" si="38"/>
      </c>
      <c r="L126" s="385">
        <f t="shared" si="38"/>
      </c>
      <c r="M126" s="385">
        <f t="shared" si="38"/>
      </c>
      <c r="N126" s="385">
        <f t="shared" si="38"/>
      </c>
      <c r="O126" s="385">
        <f t="shared" si="38"/>
      </c>
      <c r="P126" s="387">
        <f>IF('Le mie risposte'!D7="impresa individuale",'Previsione di gestione'!E43,IF('Le mie risposte'!D7="Società di persone",'Previsione di gestione'!E43,IF('Le mie risposte'!D7="società di capitali",0,0)))+'Previsione di gestione'!E33</f>
      </c>
      <c r="Q126" s="372"/>
      <c r="R126" s="372"/>
      <c r="S126" s="398"/>
      <c r="T126" s="372"/>
      <c r="U126" s="372"/>
    </row>
    <row r="127" spans="1:21" ht="14.25" customHeight="1">
      <c r="A127" s="365"/>
      <c r="B127" s="384"/>
      <c r="C127" s="384"/>
      <c r="D127" s="384"/>
      <c r="E127" s="384"/>
      <c r="F127" s="384"/>
      <c r="G127" s="384"/>
      <c r="H127" s="384"/>
      <c r="I127" s="384"/>
      <c r="J127" s="384"/>
      <c r="K127" s="384"/>
      <c r="L127" s="384"/>
      <c r="M127" s="384"/>
      <c r="N127" s="384"/>
      <c r="O127" s="384"/>
      <c r="P127" s="387"/>
      <c r="Q127" s="372"/>
      <c r="R127" s="372"/>
      <c r="S127" s="398"/>
      <c r="T127" s="372"/>
      <c r="U127" s="372"/>
    </row>
    <row r="128" spans="1:21" ht="14.25" customHeight="1">
      <c r="A128" s="365"/>
      <c r="B128" s="389" t="str">
        <f>B83</f>
      </c>
      <c r="C128" s="390"/>
      <c r="D128" s="390">
        <f>SUM(D107:D126)-IF('Le mie risposte'!$D$17="",SUM('Previsione di liquidità'!D124:D124),0)</f>
      </c>
      <c r="E128" s="390">
        <f>SUM(E107:E126)-IF('Le mie risposte'!$D$17="",SUM('Previsione di liquidità'!E124:E124),0)</f>
      </c>
      <c r="F128" s="390">
        <f>SUM(F107:F126)-IF('Le mie risposte'!$D$17="",SUM('Previsione di liquidità'!F124:F124),0)</f>
      </c>
      <c r="G128" s="390">
        <f>SUM(G107:G126)-IF('Le mie risposte'!$D$17="",SUM('Previsione di liquidità'!G124:G124),0)</f>
      </c>
      <c r="H128" s="390">
        <f>SUM(H107:H126)-IF('Le mie risposte'!$D$17="",SUM('Previsione di liquidità'!H124:H124),0)</f>
      </c>
      <c r="I128" s="390">
        <f>SUM(I107:I126)-IF('Le mie risposte'!$D$17="",SUM('Previsione di liquidità'!I124:I124),0)</f>
      </c>
      <c r="J128" s="390">
        <f>SUM(J107:J126)-IF('Le mie risposte'!$D$17="",SUM('Previsione di liquidità'!J124:J124),0)</f>
      </c>
      <c r="K128" s="390">
        <f>SUM(K107:K126)-IF('Le mie risposte'!$D$17="",SUM('Previsione di liquidità'!K124:K124),0)</f>
      </c>
      <c r="L128" s="390">
        <f>SUM(L107:L126)-IF('Le mie risposte'!$D$17="",SUM('Previsione di liquidità'!L124:L124),0)</f>
      </c>
      <c r="M128" s="390">
        <f>SUM(M107:M126)-IF('Le mie risposte'!$D$17="",SUM('Previsione di liquidità'!M124:M124),0)</f>
      </c>
      <c r="N128" s="390">
        <f>SUM(N107:N126)-IF('Le mie risposte'!$D$17="",SUM('Previsione di liquidità'!N124:N124),0)</f>
      </c>
      <c r="O128" s="390">
        <f>SUM(O107:O126)-IF('Le mie risposte'!$D$17="",SUM('Previsione di liquidità'!O124:O124),0)</f>
      </c>
      <c r="P128" s="391">
        <f>SUM(C128:O128)</f>
      </c>
      <c r="Q128" s="372"/>
      <c r="R128" s="372"/>
      <c r="S128" s="372"/>
      <c r="T128" s="372"/>
      <c r="U128" s="372"/>
    </row>
    <row r="129" spans="1:21" ht="14.25" customHeight="1">
      <c r="A129" s="365"/>
      <c r="B129" s="396"/>
      <c r="C129" s="396"/>
      <c r="D129" s="396"/>
      <c r="E129" s="396"/>
      <c r="F129" s="396"/>
      <c r="G129" s="396"/>
      <c r="H129" s="396"/>
      <c r="I129" s="396"/>
      <c r="J129" s="396"/>
      <c r="K129" s="396"/>
      <c r="L129" s="396"/>
      <c r="M129" s="396"/>
      <c r="N129" s="396"/>
      <c r="O129" s="396"/>
      <c r="P129" s="396"/>
      <c r="Q129" s="372"/>
      <c r="R129" s="372"/>
      <c r="S129" s="372"/>
      <c r="T129" s="372"/>
      <c r="U129" s="372"/>
    </row>
    <row r="130" spans="1:21" ht="14.25" customHeight="1">
      <c r="A130" s="365"/>
      <c r="B130" s="389" t="str">
        <f>B85</f>
      </c>
      <c r="C130" s="401"/>
      <c r="D130" s="401">
        <f t="shared" ref="D130:O130" si="39">D104-D128</f>
      </c>
      <c r="E130" s="401">
        <f t="shared" si="39"/>
      </c>
      <c r="F130" s="401">
        <f t="shared" si="39"/>
      </c>
      <c r="G130" s="401">
        <f t="shared" si="39"/>
      </c>
      <c r="H130" s="401">
        <f t="shared" si="39"/>
      </c>
      <c r="I130" s="401">
        <f t="shared" si="39"/>
      </c>
      <c r="J130" s="401">
        <f t="shared" si="39"/>
      </c>
      <c r="K130" s="401">
        <f t="shared" si="39"/>
      </c>
      <c r="L130" s="401">
        <f t="shared" si="39"/>
      </c>
      <c r="M130" s="401">
        <f t="shared" si="39"/>
      </c>
      <c r="N130" s="401">
        <f t="shared" si="39"/>
      </c>
      <c r="O130" s="401">
        <f t="shared" si="39"/>
      </c>
      <c r="P130" s="391"/>
      <c r="Q130" s="372"/>
      <c r="R130" s="372"/>
      <c r="S130" s="372"/>
      <c r="T130" s="372"/>
      <c r="U130" s="372"/>
    </row>
    <row r="131" spans="1:21" ht="14.25" customHeight="1">
      <c r="A131" s="365"/>
      <c r="B131" s="396"/>
      <c r="C131" s="396"/>
      <c r="D131" s="396"/>
      <c r="E131" s="396"/>
      <c r="F131" s="396"/>
      <c r="G131" s="396"/>
      <c r="H131" s="396"/>
      <c r="I131" s="396"/>
      <c r="J131" s="396"/>
      <c r="K131" s="396"/>
      <c r="L131" s="396"/>
      <c r="M131" s="396"/>
      <c r="N131" s="396"/>
      <c r="O131" s="396"/>
      <c r="P131" s="396"/>
      <c r="Q131" s="372"/>
      <c r="R131" s="372"/>
      <c r="S131" s="372"/>
      <c r="T131" s="372"/>
      <c r="U131" s="372"/>
    </row>
    <row r="132" spans="1:21" ht="14.25" customHeight="1">
      <c r="A132" s="365"/>
      <c r="B132" s="389" t="str">
        <f>B87</f>
      </c>
      <c r="C132" s="401"/>
      <c r="D132" s="401">
        <f t="shared" ref="D132:O132" si="40">D94+D130</f>
      </c>
      <c r="E132" s="401">
        <f t="shared" si="40"/>
      </c>
      <c r="F132" s="401">
        <f t="shared" si="40"/>
      </c>
      <c r="G132" s="401">
        <f t="shared" si="40"/>
      </c>
      <c r="H132" s="401">
        <f t="shared" si="40"/>
      </c>
      <c r="I132" s="401">
        <f t="shared" si="40"/>
      </c>
      <c r="J132" s="401">
        <f t="shared" si="40"/>
      </c>
      <c r="K132" s="401">
        <f t="shared" si="40"/>
      </c>
      <c r="L132" s="401">
        <f t="shared" si="40"/>
      </c>
      <c r="M132" s="401">
        <f t="shared" si="40"/>
      </c>
      <c r="N132" s="401">
        <f t="shared" si="40"/>
      </c>
      <c r="O132" s="401">
        <f t="shared" si="40"/>
      </c>
      <c r="P132" s="391"/>
      <c r="Q132" s="372"/>
      <c r="R132" s="372"/>
      <c r="S132" s="372"/>
      <c r="T132" s="372"/>
      <c r="U132" s="372"/>
    </row>
    <row r="133" spans="1:21" ht="14.25" customHeight="1">
      <c r="A133" s="365"/>
      <c r="B133" s="372"/>
      <c r="C133" s="372"/>
      <c r="D133" s="372"/>
      <c r="E133" s="372"/>
      <c r="F133" s="372"/>
      <c r="G133" s="372"/>
      <c r="H133" s="372"/>
      <c r="I133" s="372"/>
      <c r="J133" s="372"/>
      <c r="K133" s="372"/>
      <c r="L133" s="372"/>
      <c r="M133" s="372"/>
      <c r="N133" s="372"/>
      <c r="O133" s="372"/>
      <c r="P133" s="372"/>
      <c r="Q133" s="372"/>
      <c r="R133" s="372"/>
      <c r="S133" s="372"/>
      <c r="T133" s="372"/>
      <c r="U133" s="372"/>
    </row>
    <row r="134" spans="1:21">
      <c r="A134" s="365"/>
      <c r="B134" s="372"/>
      <c r="C134" s="372"/>
      <c r="D134" s="372"/>
      <c r="E134" s="372"/>
      <c r="F134" s="372"/>
      <c r="G134" s="372"/>
      <c r="H134" s="372"/>
      <c r="I134" s="372"/>
      <c r="J134" s="372"/>
      <c r="K134" s="372"/>
      <c r="L134" s="372"/>
      <c r="M134" s="372"/>
      <c r="N134" s="372"/>
      <c r="O134" s="372"/>
      <c r="P134" s="372"/>
      <c r="Q134" s="372"/>
      <c r="R134" s="372"/>
      <c r="S134" s="372"/>
      <c r="T134" s="372"/>
      <c r="U134" s="372"/>
    </row>
    <row r="135" spans="1:21" ht="14.25" customHeight="1">
      <c r="A135" s="365"/>
      <c r="B135" s="430" t="s">
        <v>28</v>
      </c>
      <c r="C135" s="431"/>
      <c r="D135" s="431"/>
      <c r="E135" s="431"/>
      <c r="F135" s="431"/>
      <c r="G135" s="431"/>
      <c r="H135" s="431"/>
      <c r="I135" s="431"/>
      <c r="J135" s="431"/>
      <c r="K135" s="431"/>
      <c r="L135" s="431"/>
      <c r="M135" s="431"/>
      <c r="N135" s="431"/>
      <c r="O135" s="432"/>
      <c r="P135" s="372"/>
      <c r="Q135" s="372"/>
      <c r="R135" s="372"/>
      <c r="S135" s="372"/>
      <c r="T135" s="372"/>
      <c r="U135" s="372"/>
    </row>
    <row r="136" spans="1:21" ht="14.25" customHeight="1">
      <c r="A136" s="365"/>
      <c r="B136" s="433"/>
      <c r="C136" s="434"/>
      <c r="D136" s="434"/>
      <c r="E136" s="434"/>
      <c r="F136" s="434"/>
      <c r="G136" s="434"/>
      <c r="H136" s="434"/>
      <c r="I136" s="434"/>
      <c r="J136" s="434"/>
      <c r="K136" s="434"/>
      <c r="L136" s="434"/>
      <c r="M136" s="434"/>
      <c r="N136" s="434"/>
      <c r="O136" s="435"/>
      <c r="P136" s="372"/>
      <c r="Q136" s="372"/>
      <c r="R136" s="372"/>
      <c r="S136" s="372"/>
      <c r="T136" s="372"/>
      <c r="U136" s="372"/>
    </row>
    <row r="137" spans="1:21" ht="14.25" customHeight="1">
      <c r="A137" s="365"/>
      <c r="B137" s="433"/>
      <c r="C137" s="434"/>
      <c r="D137" s="434"/>
      <c r="E137" s="434"/>
      <c r="F137" s="434"/>
      <c r="G137" s="434"/>
      <c r="H137" s="434"/>
      <c r="I137" s="434"/>
      <c r="J137" s="434"/>
      <c r="K137" s="434"/>
      <c r="L137" s="434"/>
      <c r="M137" s="434"/>
      <c r="N137" s="434"/>
      <c r="O137" s="435"/>
      <c r="P137" s="372"/>
      <c r="Q137" s="372"/>
      <c r="R137" s="372"/>
      <c r="S137" s="372"/>
      <c r="T137" s="372"/>
      <c r="U137" s="372"/>
    </row>
    <row r="138" spans="1:21" ht="14.25" customHeight="1">
      <c r="A138" s="365"/>
      <c r="B138" s="433"/>
      <c r="C138" s="434"/>
      <c r="D138" s="434"/>
      <c r="E138" s="434"/>
      <c r="F138" s="434"/>
      <c r="G138" s="434"/>
      <c r="H138" s="434"/>
      <c r="I138" s="434"/>
      <c r="J138" s="434"/>
      <c r="K138" s="434"/>
      <c r="L138" s="434"/>
      <c r="M138" s="434"/>
      <c r="N138" s="434"/>
      <c r="O138" s="435"/>
      <c r="P138" s="372"/>
      <c r="Q138" s="372"/>
      <c r="R138" s="372"/>
      <c r="S138" s="372"/>
      <c r="T138" s="372"/>
      <c r="U138" s="372"/>
    </row>
    <row r="139" spans="1:21" ht="14.25" customHeight="1">
      <c r="A139" s="365"/>
      <c r="B139" s="433"/>
      <c r="C139" s="434"/>
      <c r="D139" s="434"/>
      <c r="E139" s="434"/>
      <c r="F139" s="434"/>
      <c r="G139" s="434"/>
      <c r="H139" s="434"/>
      <c r="I139" s="434"/>
      <c r="J139" s="434"/>
      <c r="K139" s="434"/>
      <c r="L139" s="434"/>
      <c r="M139" s="434"/>
      <c r="N139" s="434"/>
      <c r="O139" s="435"/>
      <c r="P139" s="372"/>
      <c r="Q139" s="372"/>
      <c r="R139" s="372"/>
      <c r="S139" s="372"/>
      <c r="T139" s="372"/>
      <c r="U139" s="372"/>
    </row>
    <row r="140" spans="1:21" ht="14.25" customHeight="1">
      <c r="A140" s="365"/>
      <c r="B140" s="433"/>
      <c r="C140" s="434"/>
      <c r="D140" s="434"/>
      <c r="E140" s="434"/>
      <c r="F140" s="434"/>
      <c r="G140" s="434"/>
      <c r="H140" s="434"/>
      <c r="I140" s="434"/>
      <c r="J140" s="434"/>
      <c r="K140" s="434"/>
      <c r="L140" s="434"/>
      <c r="M140" s="434"/>
      <c r="N140" s="434"/>
      <c r="O140" s="435"/>
      <c r="P140" s="372"/>
      <c r="Q140" s="372"/>
      <c r="R140" s="372"/>
      <c r="S140" s="372"/>
      <c r="T140" s="372"/>
      <c r="U140" s="372"/>
    </row>
    <row r="141" spans="1:21" ht="14.25" customHeight="1">
      <c r="A141" s="365"/>
      <c r="B141" s="436"/>
      <c r="C141" s="437"/>
      <c r="D141" s="437"/>
      <c r="E141" s="437"/>
      <c r="F141" s="437"/>
      <c r="G141" s="437"/>
      <c r="H141" s="437"/>
      <c r="I141" s="437"/>
      <c r="J141" s="437"/>
      <c r="K141" s="437"/>
      <c r="L141" s="437"/>
      <c r="M141" s="437"/>
      <c r="N141" s="437"/>
      <c r="O141" s="438"/>
      <c r="P141" s="372"/>
      <c r="Q141" s="372"/>
      <c r="R141" s="372"/>
      <c r="S141" s="372"/>
      <c r="T141" s="372"/>
      <c r="U141" s="372"/>
    </row>
    <row r="142" spans="1:21" ht="14.25" customHeight="1">
      <c r="A142" s="365"/>
      <c r="B142" s="372"/>
      <c r="C142" s="372"/>
      <c r="D142" s="372"/>
      <c r="E142" s="372"/>
      <c r="F142" s="372"/>
      <c r="G142" s="372"/>
      <c r="H142" s="372"/>
      <c r="I142" s="372"/>
      <c r="J142" s="372"/>
      <c r="K142" s="372"/>
      <c r="L142" s="372"/>
      <c r="M142" s="372"/>
      <c r="N142" s="372"/>
      <c r="O142" s="372"/>
      <c r="P142" s="372"/>
      <c r="Q142" s="372"/>
      <c r="R142" s="372"/>
      <c r="S142" s="372"/>
      <c r="T142" s="372"/>
      <c r="U142" s="372"/>
    </row>
    <row r="143" spans="1:21" ht="14.25" customHeight="1">
      <c r="A143" s="365"/>
      <c r="B143" s="372"/>
      <c r="C143" s="372"/>
      <c r="D143" s="372"/>
      <c r="E143" s="372"/>
      <c r="F143" s="372"/>
      <c r="G143" s="372"/>
      <c r="H143" s="372"/>
      <c r="I143" s="372"/>
      <c r="J143" s="372"/>
      <c r="K143" s="372"/>
      <c r="L143" s="372"/>
      <c r="M143" s="372"/>
      <c r="N143" s="372"/>
      <c r="O143" s="372"/>
      <c r="P143" s="372"/>
      <c r="Q143" s="372"/>
      <c r="R143" s="372"/>
      <c r="S143" s="372"/>
      <c r="T143" s="372"/>
      <c r="U143" s="372"/>
    </row>
    <row r="144" spans="1:21" ht="14.25" customHeight="1">
      <c r="A144" s="365"/>
      <c r="B144" s="372"/>
      <c r="C144" s="372"/>
      <c r="D144" s="372"/>
      <c r="E144" s="372"/>
      <c r="F144" s="372"/>
      <c r="G144" s="372"/>
      <c r="H144" s="372"/>
      <c r="I144" s="372"/>
      <c r="J144" s="372"/>
      <c r="K144" s="372"/>
      <c r="L144" s="372"/>
      <c r="M144" s="372"/>
      <c r="N144" s="372"/>
      <c r="O144" s="372"/>
      <c r="P144" s="372"/>
      <c r="Q144" s="372"/>
      <c r="R144" s="372"/>
      <c r="S144" s="372"/>
      <c r="T144" s="372"/>
      <c r="U144" s="372"/>
    </row>
    <row r="145" spans="1:21" ht="14.25" customHeight="1">
      <c r="A145" s="365"/>
      <c r="B145" s="372"/>
      <c r="C145" s="372"/>
      <c r="D145" s="372"/>
      <c r="E145" s="372"/>
      <c r="F145" s="372"/>
      <c r="G145" s="372"/>
      <c r="H145" s="372"/>
      <c r="I145" s="372"/>
      <c r="J145" s="372"/>
      <c r="K145" s="372"/>
      <c r="L145" s="372"/>
      <c r="M145" s="372"/>
      <c r="N145" s="372"/>
      <c r="O145" s="372"/>
      <c r="P145" s="372"/>
      <c r="Q145" s="372"/>
      <c r="R145" s="372"/>
      <c r="S145" s="372"/>
      <c r="T145" s="372"/>
      <c r="U145" s="372"/>
    </row>
    <row r="146" spans="1:21" ht="14.25" customHeight="1">
      <c r="A146" s="365"/>
      <c r="B146" s="372"/>
      <c r="C146" s="372"/>
      <c r="D146" s="372"/>
      <c r="E146" s="372"/>
      <c r="F146" s="372"/>
      <c r="G146" s="372"/>
      <c r="H146" s="372"/>
      <c r="I146" s="372"/>
      <c r="J146" s="372"/>
      <c r="K146" s="372"/>
      <c r="L146" s="372"/>
      <c r="M146" s="372"/>
      <c r="N146" s="372"/>
      <c r="O146" s="372"/>
      <c r="P146" s="372"/>
      <c r="Q146" s="372"/>
      <c r="R146" s="372"/>
      <c r="S146" s="372"/>
      <c r="T146" s="372"/>
      <c r="U146" s="372"/>
    </row>
    <row r="147" spans="1:21" ht="14.25" customHeight="1">
      <c r="A147" s="365"/>
      <c r="B147" s="372"/>
      <c r="C147" s="372"/>
      <c r="D147" s="372"/>
      <c r="E147" s="372"/>
      <c r="F147" s="372"/>
      <c r="G147" s="372"/>
      <c r="H147" s="372"/>
      <c r="I147" s="372"/>
      <c r="J147" s="372"/>
      <c r="K147" s="372"/>
      <c r="L147" s="372"/>
      <c r="M147" s="372"/>
      <c r="N147" s="372"/>
      <c r="O147" s="372"/>
      <c r="P147" s="372"/>
      <c r="Q147" s="372"/>
      <c r="R147" s="372"/>
      <c r="S147" s="372"/>
      <c r="T147" s="372"/>
      <c r="U147" s="372"/>
    </row>
    <row r="148" spans="1:21" ht="14.25" customHeight="1">
      <c r="A148" s="365"/>
      <c r="B148" s="372"/>
      <c r="C148" s="372"/>
      <c r="D148" s="372"/>
      <c r="E148" s="372"/>
      <c r="F148" s="372"/>
      <c r="G148" s="372"/>
      <c r="H148" s="372"/>
      <c r="I148" s="372"/>
      <c r="J148" s="372"/>
      <c r="K148" s="372"/>
      <c r="L148" s="372"/>
      <c r="M148" s="372"/>
      <c r="N148" s="372"/>
      <c r="O148" s="372"/>
      <c r="P148" s="372"/>
      <c r="Q148" s="372"/>
      <c r="R148" s="372"/>
      <c r="S148" s="372"/>
      <c r="T148" s="372"/>
      <c r="U148" s="372"/>
    </row>
    <row r="149" spans="1:21" ht="14.25" customHeight="1">
      <c r="A149" s="365"/>
      <c r="B149" s="372"/>
      <c r="C149" s="372"/>
      <c r="D149" s="372"/>
      <c r="E149" s="372"/>
      <c r="F149" s="372"/>
      <c r="G149" s="372"/>
      <c r="H149" s="372"/>
      <c r="I149" s="372"/>
      <c r="J149" s="372"/>
      <c r="K149" s="372"/>
      <c r="L149" s="372"/>
      <c r="M149" s="372"/>
      <c r="N149" s="372"/>
      <c r="O149" s="372"/>
      <c r="P149" s="372"/>
      <c r="Q149" s="372"/>
      <c r="R149" s="372"/>
      <c r="S149" s="372"/>
      <c r="T149" s="372"/>
      <c r="U149" s="372"/>
    </row>
    <row r="150" spans="1:21" ht="14.25" customHeight="1">
      <c r="A150" s="365"/>
      <c r="B150" s="372"/>
      <c r="C150" s="372"/>
      <c r="D150" s="372"/>
      <c r="E150" s="372"/>
      <c r="F150" s="372"/>
      <c r="G150" s="372"/>
      <c r="H150" s="372"/>
      <c r="I150" s="372"/>
      <c r="J150" s="372"/>
      <c r="K150" s="372"/>
      <c r="L150" s="372"/>
      <c r="M150" s="372"/>
      <c r="N150" s="372"/>
      <c r="O150" s="372"/>
      <c r="P150" s="372"/>
      <c r="Q150" s="372"/>
      <c r="R150" s="372"/>
      <c r="S150" s="372"/>
      <c r="T150" s="372"/>
      <c r="U150" s="372"/>
    </row>
  </sheetData>
  <sheetProtection algorithmName="SHA-512" hashValue="TAc/qoXMEOry63HhJ+q1OPommMBZANVzEZmUVfYTcTK3ZkE+sAR9BqlO1Jnkay2tkAM55YtxhEy1zt2sClRMXA==" saltValue="OKyM4Z/JCBzHQftQb320SA==" spinCount="100000" sheet="1" formatColumns="0"/>
  <mergeCells count="17">
    <mergeCell ref="T70:U70"/>
    <mergeCell ref="B135:O141"/>
    <mergeCell ref="T111:U111"/>
    <mergeCell ref="T112:U112"/>
    <mergeCell ref="T113:U113"/>
    <mergeCell ref="T114:U114"/>
    <mergeCell ref="T115:U115"/>
    <mergeCell ref="T26:U26"/>
    <mergeCell ref="T66:U66"/>
    <mergeCell ref="T67:U67"/>
    <mergeCell ref="T68:U68"/>
    <mergeCell ref="T69:U69"/>
    <mergeCell ref="B1:O1"/>
    <mergeCell ref="T22:U22"/>
    <mergeCell ref="T23:U23"/>
    <mergeCell ref="T24:U24"/>
    <mergeCell ref="T25:U25"/>
  </mergeCells>
  <dataValidations disablePrompts="1" count="1">
    <dataValidation operator="greaterThanOrEqual" allowBlank="1" showErrorMessage="1" errorTitle="Voer een bedrag in!" error="Voer een afgerond bedrag in." sqref="B135" xr:uid="{00000000-0002-0000-0400-000000000000}"/>
  </dataValidations>
  <pageMargins left="0.75" right="0.75" top="1" bottom="1" header="0.51180555555555551" footer="0.51180555555555551"/>
  <pageSetup paperSize="9" scale="70" firstPageNumber="0" fitToHeight="0" orientation="landscape" horizontalDpi="300" verticalDpi="3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7" id="{93EB69FA-F213-4F3B-84A1-4D8BCA954B25}">
            <xm:f>'Le mie risposte'!$D$7="società di capitali"</xm:f>
            <x14:dxf>
              <font>
                <color theme="0"/>
              </font>
              <fill>
                <patternFill>
                  <bgColor theme="0"/>
                </patternFill>
              </fill>
              <border>
                <left/>
                <right/>
                <top/>
                <bottom/>
                <vertical/>
                <horizontal/>
              </border>
            </x14:dxf>
          </x14:cfRule>
          <xm:sqref>B35:P38</xm:sqref>
        </x14:conditionalFormatting>
        <x14:conditionalFormatting xmlns:xm="http://schemas.microsoft.com/office/excel/2006/main">
          <x14:cfRule type="expression" priority="16" id="{FFB2EFB8-0846-4FED-883B-49BC093D22CC}">
            <xm:f>'Le mie risposte'!$D$7="impresa individuale"</xm:f>
            <x14:dxf>
              <font>
                <color theme="0"/>
              </font>
              <fill>
                <patternFill>
                  <bgColor theme="0"/>
                </patternFill>
              </fill>
              <border>
                <left/>
                <right/>
                <top/>
                <bottom/>
                <vertical/>
                <horizontal/>
              </border>
            </x14:dxf>
          </x14:cfRule>
          <xm:sqref>B35:P36</xm:sqref>
        </x14:conditionalFormatting>
        <x14:conditionalFormatting xmlns:xm="http://schemas.microsoft.com/office/excel/2006/main">
          <x14:cfRule type="expression" priority="14" id="{1955DD05-D1D8-4D48-B35D-6DB3ACBEC735}">
            <xm:f>'Le mie risposte'!$D$7="impresa individuale"</xm:f>
            <x14:dxf>
              <font>
                <color theme="0"/>
              </font>
              <fill>
                <patternFill>
                  <bgColor theme="0"/>
                </patternFill>
              </fill>
              <border>
                <left/>
                <right/>
                <top/>
                <bottom/>
                <vertical/>
                <horizontal/>
              </border>
            </x14:dxf>
          </x14:cfRule>
          <x14:cfRule type="expression" priority="15" id="{DE717931-5CBC-43B9-B9EA-8EC168A50309}">
            <xm:f>'Le mie risposte'!$D$7="società di persone"</xm:f>
            <x14:dxf>
              <font>
                <color theme="0"/>
              </font>
              <fill>
                <patternFill>
                  <bgColor theme="0"/>
                </patternFill>
              </fill>
              <border>
                <left/>
                <right/>
                <top/>
                <bottom/>
                <vertical/>
                <horizontal/>
              </border>
            </x14:dxf>
          </x14:cfRule>
          <xm:sqref>B34:P34</xm:sqref>
        </x14:conditionalFormatting>
        <x14:conditionalFormatting xmlns:xm="http://schemas.microsoft.com/office/excel/2006/main">
          <x14:cfRule type="expression" priority="10" id="{3B336921-8714-439E-8905-9050D5A3BDEC}">
            <xm:f>'Le mie risposte'!$D$7="impresa individuale"</xm:f>
            <x14:dxf>
              <font>
                <color theme="0"/>
              </font>
              <fill>
                <patternFill>
                  <bgColor theme="0"/>
                </patternFill>
              </fill>
              <border>
                <left/>
                <right/>
                <top/>
                <bottom/>
                <vertical/>
                <horizontal/>
              </border>
            </x14:dxf>
          </x14:cfRule>
          <x14:cfRule type="expression" priority="11" id="{E0429DB8-DBB0-4C55-B07E-6B54C631D636}">
            <xm:f>'Le mie risposte'!$D$7="società di persone"</xm:f>
            <x14:dxf>
              <font>
                <color theme="0"/>
              </font>
              <fill>
                <patternFill>
                  <bgColor theme="0"/>
                </patternFill>
              </fill>
              <border>
                <left/>
                <right/>
                <top/>
                <bottom/>
                <vertical/>
                <horizontal/>
              </border>
            </x14:dxf>
          </x14:cfRule>
          <xm:sqref>B122</xm:sqref>
        </x14:conditionalFormatting>
        <x14:conditionalFormatting xmlns:xm="http://schemas.microsoft.com/office/excel/2006/main">
          <x14:cfRule type="expression" priority="7" id="{2328B124-95BB-4CA2-9C8B-B23C14FF6544}">
            <xm:f>'Le mie risposte'!$D$7="società di persone"</xm:f>
            <x14:dxf>
              <font>
                <color theme="0"/>
              </font>
              <fill>
                <patternFill>
                  <bgColor theme="0"/>
                </patternFill>
              </fill>
              <border>
                <left/>
                <right/>
                <top/>
                <bottom/>
                <vertical/>
                <horizontal/>
              </border>
            </x14:dxf>
          </x14:cfRule>
          <x14:cfRule type="expression" priority="9" id="{53725E09-8BEF-45E0-BF4D-72D8C545ACBE}">
            <xm:f>'Le mie risposte'!$D$7="impresa individuale"</xm:f>
            <x14:dxf>
              <font>
                <color theme="0"/>
              </font>
              <fill>
                <patternFill>
                  <bgColor theme="0"/>
                </patternFill>
              </fill>
              <border>
                <left/>
                <right/>
                <top/>
                <bottom/>
                <vertical/>
                <horizontal/>
              </border>
            </x14:dxf>
          </x14:cfRule>
          <xm:sqref>B122:P122</xm:sqref>
        </x14:conditionalFormatting>
        <x14:conditionalFormatting xmlns:xm="http://schemas.microsoft.com/office/excel/2006/main">
          <x14:cfRule type="expression" priority="6" id="{E2A7A2D8-9B57-454F-A175-E406CA54D018}">
            <xm:f>'Le mie risposte'!$D$7="società di capitali"</xm:f>
            <x14:dxf>
              <font>
                <color theme="0"/>
              </font>
              <fill>
                <patternFill>
                  <bgColor theme="0"/>
                </patternFill>
              </fill>
              <border>
                <left/>
                <right/>
                <top/>
                <bottom/>
                <vertical/>
                <horizontal/>
              </border>
            </x14:dxf>
          </x14:cfRule>
          <xm:sqref>B123:P126</xm:sqref>
        </x14:conditionalFormatting>
        <x14:conditionalFormatting xmlns:xm="http://schemas.microsoft.com/office/excel/2006/main">
          <x14:cfRule type="expression" priority="5" id="{42BCD80F-F9C7-4078-B617-0D6D6044E210}">
            <xm:f>'Le mie risposte'!$D$7="impresa individuale"</xm:f>
            <x14:dxf>
              <font>
                <color theme="0"/>
              </font>
              <fill>
                <patternFill>
                  <bgColor theme="0"/>
                </patternFill>
              </fill>
              <border>
                <left/>
                <right/>
                <top/>
                <bottom/>
                <vertical/>
                <horizontal/>
              </border>
            </x14:dxf>
          </x14:cfRule>
          <xm:sqref>B123:P124</xm:sqref>
        </x14:conditionalFormatting>
        <x14:conditionalFormatting xmlns:xm="http://schemas.microsoft.com/office/excel/2006/main">
          <x14:cfRule type="expression" priority="4" id="{BE1F5B6A-9986-4807-AF37-7B05A2615561}">
            <xm:f>'Le mie risposte'!$D$7="società di capitali"</xm:f>
            <x14:dxf>
              <font>
                <color theme="0"/>
              </font>
              <fill>
                <patternFill>
                  <bgColor theme="0"/>
                </patternFill>
              </fill>
              <border>
                <left/>
                <right/>
                <top/>
                <bottom/>
                <vertical/>
                <horizontal/>
              </border>
            </x14:dxf>
          </x14:cfRule>
          <xm:sqref>B78:P81</xm:sqref>
        </x14:conditionalFormatting>
        <x14:conditionalFormatting xmlns:xm="http://schemas.microsoft.com/office/excel/2006/main">
          <x14:cfRule type="expression" priority="3" id="{8F5AA6F5-C692-4F35-88B5-A6F646788D0F}">
            <xm:f>'Le mie risposte'!$D$7="impresa individuale"</xm:f>
            <x14:dxf>
              <font>
                <color theme="0"/>
              </font>
              <fill>
                <patternFill>
                  <bgColor theme="0"/>
                </patternFill>
              </fill>
              <border>
                <left/>
                <right/>
                <top/>
                <bottom/>
                <vertical/>
                <horizontal/>
              </border>
            </x14:dxf>
          </x14:cfRule>
          <xm:sqref>B78:P79</xm:sqref>
        </x14:conditionalFormatting>
        <x14:conditionalFormatting xmlns:xm="http://schemas.microsoft.com/office/excel/2006/main">
          <x14:cfRule type="expression" priority="2" id="{34FF58A9-B795-4BC3-9FA8-9D9E1FCFA1B5}">
            <xm:f>'Le mie risposte'!$D$7="società di persone"</xm:f>
            <x14:dxf>
              <font>
                <color theme="0"/>
              </font>
              <fill>
                <patternFill>
                  <bgColor theme="0"/>
                </patternFill>
              </fill>
              <border>
                <left/>
                <right/>
                <top/>
                <bottom/>
                <vertical/>
                <horizontal/>
              </border>
            </x14:dxf>
          </x14:cfRule>
          <x14:cfRule type="expression" priority="1" id="{56F3AACC-F32F-444A-8831-E85A8B9D1CFC}">
            <xm:f>'Le mie risposte'!$D$7="impresa individuale"</xm:f>
            <x14:dxf>
              <font>
                <color theme="0"/>
              </font>
              <fill>
                <patternFill>
                  <bgColor theme="0"/>
                </patternFill>
              </fill>
              <border>
                <left/>
                <right/>
                <top/>
                <bottom/>
                <vertical/>
                <horizontal/>
              </border>
            </x14:dxf>
          </x14:cfRule>
          <xm:sqref>B77:P77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5">
    <tabColor rgb="FFE2001A"/>
  </sheetPr>
  <dimension ref="A1:K82"/>
  <sheetViews>
    <sheetView topLeftCell="A22" zoomScaleNormal="100" workbookViewId="0">
      <selection activeCellId="9" sqref="A44:XFD1048576 F43:XFD43 A43:B43 A39:XFD42 F38:XFD38 A38:B38 A34:XFD37 F33:XFD33 A33:B33 A1:XFD32"/>
    </sheetView>
  </sheetViews>
  <sheetFormatPr defaultColWidth="64.140625" defaultRowHeight="14.25" customHeight="1"/>
  <cols>
    <col min="1" max="1" width="3.5703125" style="105" customWidth="1"/>
    <col min="2" max="2" width="52" style="105" customWidth="1"/>
    <col min="3" max="5" width="15.85546875" style="105" customWidth="1"/>
    <col min="6" max="6" width="3.140625" style="105" customWidth="1"/>
    <col min="7" max="7" width="9.140625" style="105" customWidth="1"/>
    <col min="8" max="8" width="3.5703125" style="105" customWidth="1"/>
    <col min="9" max="9" width="21.85546875" style="105" customWidth="1"/>
    <col min="10" max="10" width="9.140625" style="105" customWidth="1"/>
    <col min="11" max="11" width="11.85546875" style="105" customWidth="1"/>
    <col min="12" max="254" width="9.140625" style="105" customWidth="1"/>
    <col min="255" max="255" width="3.140625" style="105" customWidth="1"/>
    <col min="256" max="16384" width="64.140625" style="105"/>
  </cols>
  <sheetData>
    <row r="1" spans="2:11" ht="63.75" customHeight="1">
      <c r="B1" s="420" t="str">
        <f>Vertaling!B248</f>
      </c>
      <c r="C1" s="420"/>
      <c r="D1" s="420"/>
      <c r="E1" s="346"/>
    </row>
    <row r="2" spans="2:11" ht="15" customHeight="1">
      <c r="B2" s="427" t="str">
        <f>Vertaling!B316</f>
      </c>
      <c r="C2" s="427"/>
      <c r="D2" s="427"/>
      <c r="E2" s="427"/>
      <c r="F2" s="359"/>
      <c r="H2" s="347" t="s">
        <v>25</v>
      </c>
      <c r="I2" s="145"/>
    </row>
    <row r="3" spans="2:11" ht="15">
      <c r="B3" s="427"/>
      <c r="C3" s="427"/>
      <c r="D3" s="427"/>
      <c r="E3" s="427"/>
      <c r="F3" s="359"/>
      <c r="H3" s="347"/>
      <c r="I3" s="145"/>
    </row>
    <row r="4" spans="2:11" ht="26.25" customHeight="1">
      <c r="B4" s="427"/>
      <c r="C4" s="427"/>
      <c r="D4" s="427"/>
      <c r="E4" s="427"/>
      <c r="F4" s="359"/>
      <c r="H4" s="347"/>
      <c r="I4" s="145"/>
    </row>
    <row r="5" spans="2:11" ht="15">
      <c r="B5" s="144"/>
      <c r="C5" s="144"/>
      <c r="D5" s="144"/>
      <c r="E5" s="144"/>
      <c r="H5" s="347"/>
      <c r="I5" s="145"/>
    </row>
    <row r="6" spans="2:11" ht="14.25" customHeight="1">
      <c r="B6" s="331" t="str">
        <f>Vertaling!B249</f>
      </c>
      <c r="C6" s="332" t="s">
        <v>29</v>
      </c>
      <c r="D6" s="332" t="s">
        <v>30</v>
      </c>
      <c r="E6" s="332" t="s">
        <v>31</v>
      </c>
      <c r="F6" s="147"/>
      <c r="G6" s="147"/>
      <c r="H6" s="115"/>
      <c r="I6" s="115"/>
      <c r="J6" s="115"/>
      <c r="K6" s="115"/>
    </row>
    <row r="7" spans="2:11" ht="14.25" customHeight="1">
      <c r="B7" s="166" t="str">
        <f>Vertaling!B250</f>
      </c>
      <c r="C7" s="167">
        <f>SUM('Le mie risposte'!$D$257:$D$279)</f>
      </c>
      <c r="D7" s="167">
        <f>'Previsione di liquidità'!P55</f>
      </c>
      <c r="E7" s="167">
        <f>'Previsione di liquidità'!P100</f>
      </c>
      <c r="F7" s="147"/>
      <c r="G7" s="147"/>
      <c r="H7" s="115"/>
      <c r="I7" s="115"/>
      <c r="J7" s="115"/>
      <c r="K7" s="115"/>
    </row>
    <row r="8" spans="2:11" ht="14.25" customHeight="1">
      <c r="B8" s="158" t="str">
        <f>Vertaling!B251</f>
      </c>
      <c r="C8" s="162">
        <f>C7*'Le mie risposte'!$D$167</f>
      </c>
      <c r="D8" s="162">
        <f>D7*IF('Le mie risposte'!$D$167="",0,'Le mie risposte'!$D$167)</f>
      </c>
      <c r="E8" s="162">
        <f>E7*IF('Le mie risposte'!$D$167="",0,'Le mie risposte'!$D$167)</f>
      </c>
      <c r="F8" s="147"/>
      <c r="G8" s="147"/>
      <c r="H8" s="115"/>
      <c r="I8" s="165"/>
      <c r="J8" s="115"/>
      <c r="K8" s="115"/>
    </row>
    <row r="9" spans="2:11" ht="14.25" customHeight="1">
      <c r="B9" s="159" t="str">
        <f>Vertaling!B252</f>
      </c>
      <c r="C9" s="163">
        <f>C7-C8</f>
      </c>
      <c r="D9" s="163">
        <f>D7-D8</f>
      </c>
      <c r="E9" s="163">
        <f>E7-E8</f>
      </c>
      <c r="F9" s="147"/>
      <c r="G9" s="147"/>
      <c r="H9" s="115"/>
      <c r="I9" s="115"/>
      <c r="J9" s="115"/>
      <c r="K9" s="115"/>
    </row>
    <row r="10" spans="2:11" ht="14.25" customHeight="1">
      <c r="B10" s="160" t="str">
        <f>Vertaling!B253</f>
      </c>
      <c r="C10" s="164">
        <f>IF(C7=0,0,C9/C7)</f>
      </c>
      <c r="D10" s="164">
        <f>IF(D7=0,0,D9/D7)</f>
      </c>
      <c r="E10" s="164">
        <f>IF(E7=0,0,E9/E7)</f>
      </c>
      <c r="F10" s="147"/>
      <c r="G10" s="147"/>
      <c r="H10" s="115"/>
      <c r="I10" s="115"/>
      <c r="J10" s="115"/>
      <c r="K10" s="115"/>
    </row>
    <row r="11" spans="2:11" ht="14.25" customHeight="1">
      <c r="B11" s="148"/>
      <c r="C11" s="149"/>
      <c r="D11" s="149"/>
      <c r="E11" s="149"/>
      <c r="F11" s="147"/>
      <c r="G11" s="147"/>
      <c r="H11" s="115"/>
    </row>
    <row r="12" spans="2:11">
      <c r="B12" s="166" t="str">
        <f>Vertaling!B254</f>
      </c>
      <c r="C12" s="167">
        <f>SUM('Le mie risposte'!$F$257:$F$279)</f>
      </c>
      <c r="D12" s="168">
        <f>'Previsione di liquidità'!P56</f>
      </c>
      <c r="E12" s="168">
        <f>'Previsione di liquidità'!P101</f>
      </c>
      <c r="F12" s="147"/>
      <c r="G12" s="147"/>
      <c r="H12" s="115"/>
    </row>
    <row r="13" spans="2:11">
      <c r="B13" s="158" t="str">
        <f>Vertaling!B255</f>
      </c>
      <c r="C13" s="162">
        <f>C12*'Le mie risposte'!$F$167</f>
      </c>
      <c r="D13" s="162">
        <f>D12*IF('Le mie risposte'!$F$167="",0,'Le mie risposte'!$F$167)</f>
      </c>
      <c r="E13" s="162">
        <f>E12*IF('Le mie risposte'!$F$167="",0,'Le mie risposte'!$F$167)</f>
      </c>
      <c r="F13" s="147"/>
      <c r="G13" s="147"/>
      <c r="H13" s="115"/>
    </row>
    <row r="14" spans="2:11">
      <c r="B14" s="159" t="str">
        <f>Vertaling!B256</f>
      </c>
      <c r="C14" s="163">
        <f>C12-C13</f>
      </c>
      <c r="D14" s="163">
        <f>D12-D13</f>
      </c>
      <c r="E14" s="163">
        <f>E12-E13</f>
      </c>
      <c r="F14" s="147"/>
      <c r="G14" s="147"/>
      <c r="H14" s="115"/>
    </row>
    <row r="15" spans="2:11" ht="14.25" customHeight="1">
      <c r="B15" s="160" t="str">
        <f>Vertaling!B257</f>
      </c>
      <c r="C15" s="164">
        <f>IF(C12=0,0,C14/C12)</f>
      </c>
      <c r="D15" s="164">
        <f>IF(D12=0,0,D14/D12)</f>
      </c>
      <c r="E15" s="164">
        <f>IF(E12=0,0,E14/E12)</f>
      </c>
      <c r="F15" s="147"/>
      <c r="G15" s="147"/>
      <c r="H15" s="115"/>
    </row>
    <row r="16" spans="2:11" ht="14.25" customHeight="1">
      <c r="B16" s="148"/>
      <c r="C16" s="149"/>
      <c r="D16" s="149"/>
      <c r="E16" s="149"/>
      <c r="F16" s="147"/>
      <c r="G16" s="147"/>
      <c r="H16" s="115"/>
    </row>
    <row r="17" spans="1:11" ht="14.25" customHeight="1">
      <c r="B17" s="166" t="str">
        <f>Vertaling!B258</f>
      </c>
      <c r="C17" s="167">
        <f t="shared" ref="C17:E18" si="0">C7+C12</f>
      </c>
      <c r="D17" s="167">
        <f t="shared" si="0"/>
      </c>
      <c r="E17" s="167">
        <f t="shared" si="0"/>
      </c>
      <c r="F17" s="147"/>
      <c r="G17" s="147"/>
      <c r="H17" s="115"/>
      <c r="I17" s="115"/>
      <c r="J17" s="115"/>
      <c r="K17" s="115"/>
    </row>
    <row r="18" spans="1:11" ht="14.25" customHeight="1">
      <c r="B18" s="158" t="str">
        <f>Vertaling!B259</f>
      </c>
      <c r="C18" s="162">
        <f t="shared" si="0"/>
      </c>
      <c r="D18" s="162">
        <f t="shared" si="0"/>
      </c>
      <c r="E18" s="162">
        <f t="shared" si="0"/>
      </c>
      <c r="F18" s="147"/>
      <c r="G18" s="147"/>
      <c r="H18" s="115"/>
      <c r="I18" s="115"/>
      <c r="J18" s="115"/>
      <c r="K18" s="115"/>
    </row>
    <row r="19" spans="1:11" ht="14.25" customHeight="1">
      <c r="B19" s="159" t="str">
        <f>Vertaling!B260</f>
      </c>
      <c r="C19" s="161">
        <f>C17-C18</f>
      </c>
      <c r="D19" s="161">
        <f>D17-D18</f>
      </c>
      <c r="E19" s="161">
        <f>E17-E18</f>
      </c>
      <c r="F19" s="147"/>
      <c r="G19" s="147"/>
      <c r="H19" s="115"/>
      <c r="I19" s="115"/>
      <c r="J19" s="115"/>
      <c r="K19" s="115"/>
    </row>
    <row r="20" spans="1:11" ht="14.25" customHeight="1">
      <c r="B20" s="150"/>
      <c r="C20" s="151"/>
      <c r="D20" s="151"/>
      <c r="E20" s="151"/>
      <c r="F20" s="147"/>
      <c r="G20" s="147"/>
      <c r="H20" s="115"/>
      <c r="I20" s="115"/>
      <c r="J20" s="115"/>
      <c r="K20" s="115"/>
    </row>
    <row r="21" spans="1:11" ht="14.25" customHeight="1">
      <c r="B21" s="175" t="str">
        <f>Vertaling!B261</f>
      </c>
      <c r="C21" s="176">
        <f>'Previsione di liquidità'!P22</f>
      </c>
      <c r="D21" s="176">
        <f>'Previsione di liquidità'!P66</f>
      </c>
      <c r="E21" s="176">
        <f>'Previsione di liquidità'!P111</f>
      </c>
      <c r="F21" s="147"/>
      <c r="G21" s="147"/>
      <c r="H21" s="115"/>
      <c r="I21" s="115"/>
      <c r="J21" s="115"/>
      <c r="K21" s="115"/>
    </row>
    <row r="22" spans="1:11" ht="14.25" customHeight="1">
      <c r="B22" s="177" t="str">
        <f>Vertaling!B262</f>
      </c>
      <c r="C22" s="178">
        <f>'Previsione di liquidità'!P23</f>
      </c>
      <c r="D22" s="178">
        <f>'Previsione di liquidità'!P67</f>
      </c>
      <c r="E22" s="178">
        <f>'Previsione di liquidità'!P112</f>
      </c>
      <c r="F22" s="147"/>
      <c r="G22" s="147"/>
      <c r="H22" s="115"/>
      <c r="I22" s="115"/>
      <c r="J22" s="115"/>
      <c r="K22" s="146"/>
    </row>
    <row r="23" spans="1:11" ht="14.25" customHeight="1">
      <c r="B23" s="175" t="str">
        <f>Vertaling!B263</f>
      </c>
      <c r="C23" s="176">
        <f>'Previsione di liquidità'!P24</f>
      </c>
      <c r="D23" s="176">
        <f>'Previsione di liquidità'!P68</f>
      </c>
      <c r="E23" s="176">
        <f>'Previsione di liquidità'!P113</f>
      </c>
      <c r="F23" s="147"/>
      <c r="G23" s="147"/>
      <c r="H23" s="115"/>
      <c r="I23" s="115"/>
      <c r="J23" s="115"/>
      <c r="K23" s="115"/>
    </row>
    <row r="24" spans="1:11" ht="14.25" customHeight="1">
      <c r="A24" s="107"/>
      <c r="B24" s="175" t="str">
        <f>Vertaling!B264</f>
      </c>
      <c r="C24" s="176">
        <f>'Previsione di liquidità'!P25</f>
      </c>
      <c r="D24" s="176">
        <f>'Previsione di liquidità'!P69</f>
      </c>
      <c r="E24" s="176">
        <f>'Previsione di liquidità'!P114</f>
      </c>
      <c r="F24" s="147"/>
      <c r="G24" s="147"/>
      <c r="H24" s="115"/>
      <c r="I24" s="115"/>
      <c r="J24" s="115"/>
      <c r="K24" s="115"/>
    </row>
    <row r="25" spans="1:11" ht="14.25" customHeight="1">
      <c r="B25" s="175" t="str">
        <f>Vertaling!B265</f>
      </c>
      <c r="C25" s="176">
        <f>'Previsione di liquidità'!P26</f>
      </c>
      <c r="D25" s="176">
        <f>'Previsione di liquidità'!P70</f>
      </c>
      <c r="E25" s="176">
        <f>'Previsione di liquidità'!P115</f>
      </c>
      <c r="F25" s="147"/>
      <c r="G25" s="147"/>
      <c r="H25" s="115"/>
      <c r="I25" s="115"/>
      <c r="J25" s="115"/>
      <c r="K25" s="115"/>
    </row>
    <row r="26" spans="1:11" ht="14.25" customHeight="1">
      <c r="B26" s="175" t="str">
        <f>Vertaling!B266</f>
      </c>
      <c r="C26" s="176">
        <f>SUM('Previsione di investimento'!$E$5:$E$10)*0.1</f>
      </c>
      <c r="D26" s="176">
        <f>SUM('Previsione di investimento'!$E$5:$E$10)*0.1</f>
      </c>
      <c r="E26" s="176">
        <f>SUM('Previsione di investimento'!$E$5:$E$10)*0.1</f>
      </c>
      <c r="F26" s="147"/>
      <c r="G26" s="147"/>
      <c r="H26" s="115"/>
      <c r="I26" s="115"/>
      <c r="J26" s="115"/>
      <c r="K26" s="115"/>
    </row>
    <row r="27" spans="1:11" ht="14.25" customHeight="1">
      <c r="B27" s="179" t="str">
        <f>Vertaling!B267</f>
      </c>
      <c r="C27" s="180">
        <f>SUM(C21:C26)</f>
      </c>
      <c r="D27" s="180">
        <f>SUM(D21:D26)</f>
      </c>
      <c r="E27" s="180">
        <f>SUM(E21:E26)</f>
      </c>
      <c r="F27" s="147"/>
      <c r="G27" s="147"/>
      <c r="H27" s="115"/>
      <c r="I27" s="115"/>
      <c r="J27" s="115"/>
      <c r="K27" s="115"/>
    </row>
    <row r="28" spans="1:11" ht="14.25" customHeight="1">
      <c r="B28" s="150"/>
      <c r="C28" s="151"/>
      <c r="D28" s="151"/>
      <c r="E28" s="151"/>
      <c r="F28" s="147"/>
      <c r="G28" s="147"/>
      <c r="H28" s="115"/>
      <c r="I28" s="115"/>
      <c r="J28" s="115"/>
      <c r="K28" s="115"/>
    </row>
    <row r="29" spans="1:11" ht="14.25" customHeight="1">
      <c r="B29" s="173" t="str">
        <f>Vertaling!B268</f>
      </c>
      <c r="C29" s="174">
        <f>'Oneri mensili'!O17</f>
      </c>
      <c r="D29" s="174">
        <f>'Oneri mensili'!O26</f>
      </c>
      <c r="E29" s="174">
        <f>'Oneri mensili'!O34</f>
      </c>
      <c r="F29" s="147"/>
      <c r="G29" s="147"/>
      <c r="H29" s="115"/>
      <c r="I29" s="115"/>
      <c r="J29" s="115"/>
      <c r="K29" s="115"/>
    </row>
    <row r="30" spans="1:11" ht="14.25" customHeight="1">
      <c r="B30" s="175" t="str">
        <f>Vertaling!B269</f>
      </c>
      <c r="C30" s="176">
        <f>'Previsione di liquidità'!P30</f>
      </c>
      <c r="D30" s="176">
        <f>'Previsione di liquidità'!P73</f>
      </c>
      <c r="E30" s="176">
        <f>'Previsione di liquidità'!P118</f>
      </c>
      <c r="F30" s="147"/>
      <c r="G30" s="147"/>
      <c r="H30" s="115"/>
      <c r="I30" s="115"/>
      <c r="J30" s="115"/>
      <c r="K30" s="115"/>
    </row>
    <row r="31" spans="1:11" ht="14.25" customHeight="1">
      <c r="B31" s="148"/>
      <c r="C31" s="151"/>
      <c r="D31" s="151"/>
      <c r="E31" s="151"/>
      <c r="F31" s="147"/>
      <c r="G31" s="147"/>
      <c r="H31" s="115"/>
      <c r="I31" s="115"/>
      <c r="J31" s="115"/>
      <c r="K31" s="115"/>
    </row>
    <row r="32" spans="1:11" ht="14.25" customHeight="1">
      <c r="B32" s="183" t="str">
        <f>Vertaling!B270</f>
      </c>
      <c r="C32" s="182">
        <f>C19-C27-C29-C30</f>
      </c>
      <c r="D32" s="182">
        <f>D19-D27-D29-D30</f>
      </c>
      <c r="E32" s="182">
        <f>E19-E27-E29-E30</f>
      </c>
      <c r="F32" s="147"/>
      <c r="G32" s="147"/>
      <c r="H32" s="115"/>
      <c r="I32" s="115"/>
      <c r="J32" s="115"/>
      <c r="K32" s="115"/>
    </row>
    <row r="33" spans="2:11" ht="14.25" customHeight="1">
      <c r="B33" s="349" t="s">
        <v>1857</v>
      </c>
      <c r="C33" s="352">
        <f>IF('Le mie risposte'!$D$7="Società di Capitali",C32*0.22,0)</f>
      </c>
      <c r="D33" s="352">
        <f>IF('Le mie risposte'!$D$7="Società di Capitali",D32*0.22,0)</f>
      </c>
      <c r="E33" s="352">
        <f>IF('Le mie risposte'!$D$7="Società di Capitali",E32*0.22,0)</f>
      </c>
      <c r="F33" s="147"/>
      <c r="G33" s="147"/>
      <c r="H33" s="115"/>
      <c r="I33" s="115"/>
      <c r="J33" s="115"/>
      <c r="K33" s="115"/>
    </row>
    <row r="34" spans="2:11">
      <c r="B34" s="175" t="str">
        <f>Vertaling!B240</f>
      </c>
      <c r="C34" s="180">
        <f>C32-C33</f>
      </c>
      <c r="D34" s="180">
        <f>D32-D33</f>
      </c>
      <c r="E34" s="180">
        <f>E32-E33</f>
      </c>
      <c r="F34" s="147"/>
      <c r="G34" s="115"/>
      <c r="H34" s="115"/>
      <c r="I34" s="115"/>
      <c r="J34" s="115"/>
      <c r="K34" s="115"/>
    </row>
    <row r="35" spans="2:11" ht="14.25" customHeight="1">
      <c r="B35" s="154"/>
      <c r="C35" s="151"/>
      <c r="D35" s="151"/>
      <c r="E35" s="151"/>
      <c r="F35" s="147"/>
      <c r="G35" s="147"/>
      <c r="H35" s="115"/>
      <c r="I35" s="115"/>
      <c r="J35" s="115"/>
      <c r="K35" s="115"/>
    </row>
    <row r="36" spans="2:11" ht="14.25" customHeight="1">
      <c r="B36" s="172" t="str">
        <f>'Le mie risposte'!$D$13</f>
      </c>
      <c r="C36" s="151"/>
      <c r="D36" s="151"/>
      <c r="E36" s="151"/>
      <c r="F36" s="147"/>
      <c r="G36" s="147"/>
      <c r="H36" s="115"/>
      <c r="I36" s="115"/>
      <c r="J36" s="115"/>
      <c r="K36" s="115"/>
    </row>
    <row r="37" spans="2:11" ht="14.25" customHeight="1">
      <c r="B37" s="173" t="str">
        <f>Vertaling!B271</f>
      </c>
      <c r="C37" s="174">
        <f>IF('Le mie risposte'!D7="Società di persone",C34*0.5,0)</f>
      </c>
      <c r="D37" s="174">
        <f>(D32-D34)*IF('Le mie risposte'!$D$17="",0,'Le mie risposte'!$D$14)</f>
      </c>
      <c r="E37" s="174">
        <f>(E32-E34)*IF('Le mie risposte'!$D$17="",0,'Le mie risposte'!$D$14)</f>
      </c>
      <c r="F37" s="147"/>
      <c r="G37" s="147"/>
      <c r="H37" s="115"/>
      <c r="I37" s="115"/>
      <c r="J37" s="115"/>
      <c r="K37" s="115"/>
    </row>
    <row r="38" spans="2:11">
      <c r="B38" s="351" t="str">
        <f>B43</f>
      </c>
      <c r="C38" s="352">
        <v>0</v>
      </c>
      <c r="D38" s="352">
        <v>0</v>
      </c>
      <c r="E38" s="352">
        <v>0</v>
      </c>
      <c r="F38" s="147"/>
      <c r="G38" s="115"/>
      <c r="H38" s="115"/>
      <c r="I38" s="115"/>
      <c r="J38" s="115"/>
      <c r="K38" s="115"/>
    </row>
    <row r="39" spans="2:11" ht="14.25" customHeight="1">
      <c r="B39" s="173" t="s">
        <v>1854</v>
      </c>
      <c r="C39" s="174">
        <f>C37-C38</f>
      </c>
      <c r="D39" s="174">
        <f>IF('Le mie risposte'!$D$17="",0,'Previsione di liquidità'!P81)</f>
      </c>
      <c r="E39" s="174">
        <f>IF('Le mie risposte'!$D$17="",0,'Previsione di liquidità'!P126)</f>
      </c>
      <c r="F39" s="147"/>
      <c r="G39" s="147"/>
      <c r="H39" s="115"/>
      <c r="I39" s="115"/>
      <c r="J39" s="115"/>
      <c r="K39" s="115"/>
    </row>
    <row r="40" spans="2:11" ht="14.25" customHeight="1">
      <c r="B40" s="154"/>
      <c r="C40" s="151"/>
      <c r="D40" s="151"/>
      <c r="E40" s="151"/>
      <c r="F40" s="147"/>
      <c r="G40" s="115"/>
      <c r="H40" s="115"/>
      <c r="I40" s="115"/>
      <c r="J40" s="115"/>
      <c r="K40" s="115"/>
    </row>
    <row r="41" spans="2:11" ht="14.25" customHeight="1">
      <c r="B41" s="172" t="str">
        <f>'Le mie risposte'!$F$13</f>
      </c>
      <c r="C41" s="151"/>
      <c r="D41" s="151"/>
      <c r="E41" s="151"/>
      <c r="F41" s="147"/>
      <c r="G41" s="147"/>
      <c r="H41" s="115"/>
      <c r="I41" s="115"/>
      <c r="J41" s="115"/>
      <c r="K41" s="115"/>
    </row>
    <row r="42" spans="2:11" ht="14.25" customHeight="1">
      <c r="B42" s="173" t="str">
        <f>Vertaling!B271</f>
      </c>
      <c r="C42" s="174">
        <f>IF('Le mie risposte'!D7="Impresa individuale",C34*1,IF('Le mie risposte'!D7="Società di persone",C34*0.5,0))</f>
      </c>
      <c r="D42" s="174">
        <f>(D32-D34)*IF('Le mie risposte'!$D$17="",1,'Le mie risposte'!$F$14)</f>
      </c>
      <c r="E42" s="174">
        <f>(E32-E34)*IF('Le mie risposte'!$D$17="",1,'Le mie risposte'!$F$14)</f>
      </c>
      <c r="F42" s="147"/>
      <c r="G42" s="147"/>
      <c r="H42" s="115"/>
      <c r="I42" s="115"/>
      <c r="J42" s="115"/>
      <c r="K42" s="115"/>
    </row>
    <row r="43" spans="2:11">
      <c r="B43" s="350" t="s">
        <v>1844</v>
      </c>
      <c r="C43" s="352">
        <v>0</v>
      </c>
      <c r="D43" s="352">
        <v>0</v>
      </c>
      <c r="E43" s="352">
        <v>0</v>
      </c>
      <c r="F43" s="147"/>
      <c r="G43" s="115"/>
      <c r="H43" s="115"/>
      <c r="I43" s="115"/>
      <c r="J43" s="115"/>
      <c r="K43" s="115"/>
    </row>
    <row r="44" spans="2:11" ht="14.25" customHeight="1">
      <c r="B44" s="173" t="s">
        <v>1854</v>
      </c>
      <c r="C44" s="174">
        <f>C42-C43</f>
      </c>
      <c r="D44" s="174">
        <f>IF('Le mie risposte'!$D$17="",'Previsione di liquidità'!P81,'Previsione di liquidità'!P79)</f>
      </c>
      <c r="E44" s="174">
        <f>IF('Le mie risposte'!$D$17="",'Previsione di liquidità'!P126,'Previsione di liquidità'!P124)</f>
      </c>
      <c r="F44" s="147"/>
      <c r="G44" s="147"/>
      <c r="H44" s="115"/>
      <c r="I44" s="115"/>
      <c r="J44" s="115"/>
      <c r="K44" s="115"/>
    </row>
    <row r="45" spans="2:11" ht="14.25" customHeight="1">
      <c r="B45" s="154"/>
      <c r="C45" s="151"/>
      <c r="D45" s="151"/>
      <c r="E45" s="151"/>
      <c r="F45" s="147"/>
      <c r="G45" s="115"/>
      <c r="H45" s="115"/>
      <c r="I45" s="115"/>
      <c r="J45" s="115"/>
      <c r="K45" s="115"/>
    </row>
    <row r="46" spans="2:11" ht="14.25" customHeight="1">
      <c r="B46" s="181" t="str">
        <f>Vertaling!B276</f>
      </c>
      <c r="C46" s="182">
        <f>IF('Le mie risposte'!D7="impresa individuale",C44,IF('Le mie risposte'!D7="Società di persone",C39+C44,IF('Le mie risposte'!D7="Società di capitali",C34,0)))</f>
      </c>
      <c r="D46" s="182">
        <f>(D37-SUM(D39:D39))+(D42-SUM(D44:D44))</f>
      </c>
      <c r="E46" s="182">
        <f>(E37-SUM(E39:E39))+(E42-SUM(E44:E44))</f>
      </c>
      <c r="F46" s="147"/>
      <c r="G46" s="115"/>
      <c r="H46" s="115"/>
      <c r="I46" s="115"/>
      <c r="J46" s="115"/>
      <c r="K46" s="115"/>
    </row>
    <row r="47" spans="2:11" ht="14.25" customHeight="1">
      <c r="B47" s="115"/>
      <c r="C47" s="115"/>
      <c r="D47" s="115"/>
      <c r="E47" s="115"/>
      <c r="F47" s="115"/>
      <c r="G47" s="115"/>
      <c r="H47" s="115"/>
      <c r="I47" s="115"/>
      <c r="J47" s="115"/>
      <c r="K47" s="115"/>
    </row>
    <row r="48" spans="2:11" ht="14.25" customHeight="1">
      <c r="B48" s="115"/>
      <c r="C48" s="115"/>
      <c r="D48" s="115"/>
      <c r="E48" s="115"/>
      <c r="F48" s="115"/>
      <c r="G48" s="115"/>
      <c r="H48" s="115"/>
      <c r="I48" s="115"/>
      <c r="J48" s="115"/>
      <c r="K48" s="115"/>
    </row>
    <row r="49" spans="2:11" ht="14.25" customHeight="1">
      <c r="B49" s="115"/>
      <c r="C49" s="115"/>
      <c r="D49" s="155"/>
      <c r="E49" s="155"/>
      <c r="F49" s="115"/>
      <c r="G49" s="115"/>
      <c r="H49" s="115"/>
      <c r="I49" s="115"/>
      <c r="J49" s="115"/>
      <c r="K49" s="115"/>
    </row>
    <row r="50" spans="2:11" ht="14.25" customHeight="1">
      <c r="B50" s="331" t="str">
        <f>Vertaling!B277</f>
      </c>
      <c r="C50" s="332" t="str">
        <f>C6</f>
      </c>
      <c r="D50" s="332" t="str">
        <f>D6</f>
      </c>
      <c r="E50" s="332" t="str">
        <f>E6</f>
      </c>
      <c r="F50" s="115"/>
      <c r="G50" s="115"/>
      <c r="H50" s="115"/>
      <c r="I50" s="115"/>
      <c r="J50" s="115"/>
      <c r="K50" s="115"/>
    </row>
    <row r="51" spans="2:11" ht="14.25" customHeight="1">
      <c r="B51" s="181" t="str">
        <f>Vertaling!B278</f>
      </c>
      <c r="C51" s="182">
        <f>C46</f>
      </c>
      <c r="D51" s="182">
        <f>D46</f>
      </c>
      <c r="E51" s="182">
        <f>E46</f>
      </c>
      <c r="F51" s="115"/>
      <c r="G51" s="115"/>
      <c r="H51" s="115"/>
      <c r="I51" s="115"/>
      <c r="J51" s="115"/>
      <c r="K51" s="115"/>
    </row>
    <row r="52" spans="2:11" ht="14.25" customHeight="1">
      <c r="B52" s="175" t="str">
        <f>Vertaling!B279</f>
      </c>
      <c r="C52" s="176">
        <f>C26</f>
      </c>
      <c r="D52" s="176">
        <f>D26</f>
      </c>
      <c r="E52" s="176">
        <f>E26</f>
      </c>
      <c r="F52" s="115"/>
      <c r="G52" s="115"/>
      <c r="H52" s="115"/>
      <c r="I52" s="115"/>
      <c r="J52" s="115"/>
      <c r="K52" s="115"/>
    </row>
    <row r="53" spans="2:11" ht="14.25" customHeight="1">
      <c r="B53" s="179" t="str">
        <f>Vertaling!B280</f>
      </c>
      <c r="C53" s="180">
        <f>C51+C52</f>
      </c>
      <c r="D53" s="180">
        <f>D51+D52</f>
      </c>
      <c r="E53" s="180">
        <f>E51+E52</f>
      </c>
      <c r="F53" s="115"/>
      <c r="G53" s="115"/>
      <c r="H53" s="115"/>
      <c r="I53" s="115"/>
      <c r="J53" s="115"/>
      <c r="K53" s="115"/>
    </row>
    <row r="54" spans="2:11" ht="14.25" customHeight="1">
      <c r="B54" s="150"/>
      <c r="C54" s="151"/>
      <c r="D54" s="151"/>
      <c r="E54" s="151"/>
      <c r="F54" s="115"/>
      <c r="G54" s="115"/>
      <c r="H54" s="115"/>
      <c r="I54" s="115"/>
      <c r="J54" s="115"/>
      <c r="K54" s="115"/>
    </row>
    <row r="55" spans="2:11" ht="14.25" hidden="1" customHeight="1">
      <c r="B55" s="152" t="str">
        <f>Vertaling!B281</f>
      </c>
      <c r="C55" s="153">
        <f>C44</f>
      </c>
      <c r="D55" s="153">
        <f>D44</f>
      </c>
      <c r="E55" s="153">
        <f>E44</f>
      </c>
      <c r="F55" s="115"/>
      <c r="G55" s="156"/>
      <c r="H55" s="115"/>
      <c r="I55" s="115"/>
      <c r="J55" s="115"/>
      <c r="K55" s="115"/>
    </row>
    <row r="56" spans="2:11" ht="14.25" customHeight="1">
      <c r="B56" s="157" t="str">
        <f>Vertaling!B282</f>
      </c>
      <c r="C56" s="169">
        <f>'Previsione di liquidità'!P31+'Oneri mensili'!O18</f>
      </c>
      <c r="D56" s="169">
        <f>'Previsione di liquidità'!P74+'Oneri mensili'!O27</f>
      </c>
      <c r="E56" s="169">
        <f>'Previsione di liquidità'!P119+'Oneri mensili'!O35</f>
      </c>
      <c r="F56" s="115"/>
      <c r="G56" s="115"/>
      <c r="H56" s="115"/>
      <c r="I56" s="115"/>
      <c r="J56" s="115"/>
      <c r="K56" s="115"/>
    </row>
    <row r="57" spans="2:11" ht="14.25" customHeight="1">
      <c r="B57" s="148"/>
      <c r="C57" s="151"/>
      <c r="D57" s="151"/>
      <c r="E57" s="151"/>
      <c r="F57" s="115"/>
      <c r="G57" s="115"/>
      <c r="H57" s="115"/>
      <c r="I57" s="115"/>
      <c r="J57" s="115"/>
      <c r="K57" s="115"/>
    </row>
    <row r="58" spans="2:11" ht="14.25" customHeight="1">
      <c r="B58" s="170" t="str">
        <f>Vertaling!B283</f>
      </c>
      <c r="C58" s="171">
        <f>C53-C56</f>
      </c>
      <c r="D58" s="171">
        <f>D53-D56</f>
      </c>
      <c r="E58" s="171">
        <f>E53-E56</f>
      </c>
      <c r="F58" s="115"/>
      <c r="G58" s="115"/>
      <c r="H58" s="115"/>
      <c r="I58" s="115"/>
      <c r="J58" s="115"/>
      <c r="K58" s="115"/>
    </row>
    <row r="59" spans="2:11" ht="14.25" customHeight="1">
      <c r="B59" s="115"/>
      <c r="C59" s="115"/>
      <c r="D59" s="115"/>
      <c r="E59" s="115"/>
      <c r="F59" s="115"/>
      <c r="G59" s="115"/>
      <c r="H59" s="115"/>
      <c r="I59" s="115"/>
      <c r="J59" s="115"/>
      <c r="K59" s="115"/>
    </row>
    <row r="60" spans="2:11" ht="14.25" customHeight="1">
      <c r="B60" s="115"/>
      <c r="C60" s="115"/>
      <c r="D60" s="115"/>
      <c r="E60" s="115"/>
      <c r="F60" s="115"/>
      <c r="G60" s="115"/>
      <c r="H60" s="115"/>
      <c r="I60" s="115"/>
      <c r="J60" s="115"/>
      <c r="K60" s="115"/>
    </row>
    <row r="61" spans="2:11" ht="14.25" customHeight="1">
      <c r="B61" s="115"/>
      <c r="C61" s="115"/>
      <c r="D61" s="115"/>
      <c r="E61" s="115"/>
      <c r="F61" s="115"/>
      <c r="G61" s="115"/>
      <c r="H61" s="115"/>
      <c r="I61" s="115"/>
      <c r="J61" s="115"/>
      <c r="K61" s="115"/>
    </row>
    <row r="62" spans="2:11" ht="14.25" customHeight="1">
      <c r="B62" s="439" t="s">
        <v>28</v>
      </c>
      <c r="C62" s="440"/>
      <c r="D62" s="440"/>
      <c r="E62" s="441"/>
      <c r="F62" s="115"/>
      <c r="G62" s="115"/>
      <c r="H62" s="115"/>
      <c r="I62" s="115"/>
      <c r="J62" s="115"/>
      <c r="K62" s="115"/>
    </row>
    <row r="63" spans="2:11" ht="14.25" customHeight="1">
      <c r="B63" s="442"/>
      <c r="C63" s="443"/>
      <c r="D63" s="443"/>
      <c r="E63" s="444"/>
      <c r="F63" s="115"/>
      <c r="G63" s="115"/>
      <c r="H63" s="115"/>
      <c r="I63" s="115"/>
      <c r="J63" s="115"/>
      <c r="K63" s="115"/>
    </row>
    <row r="64" spans="2:11" ht="14.25" customHeight="1">
      <c r="B64" s="442"/>
      <c r="C64" s="443"/>
      <c r="D64" s="443"/>
      <c r="E64" s="444"/>
      <c r="F64" s="115"/>
      <c r="G64" s="115"/>
      <c r="H64" s="115"/>
      <c r="I64" s="115"/>
      <c r="J64" s="115"/>
      <c r="K64" s="115"/>
    </row>
    <row r="65" spans="2:11" ht="14.25" customHeight="1">
      <c r="B65" s="442"/>
      <c r="C65" s="443"/>
      <c r="D65" s="443"/>
      <c r="E65" s="444"/>
      <c r="F65" s="115"/>
      <c r="G65" s="115"/>
      <c r="H65" s="115"/>
      <c r="I65" s="115"/>
      <c r="J65" s="115"/>
      <c r="K65" s="115"/>
    </row>
    <row r="66" spans="2:11" ht="14.25" customHeight="1">
      <c r="B66" s="442"/>
      <c r="C66" s="443"/>
      <c r="D66" s="443"/>
      <c r="E66" s="444"/>
      <c r="F66" s="115"/>
      <c r="G66" s="115"/>
      <c r="H66" s="115"/>
      <c r="I66" s="115"/>
      <c r="J66" s="115"/>
      <c r="K66" s="115"/>
    </row>
    <row r="67" spans="2:11" ht="14.25" customHeight="1">
      <c r="B67" s="442"/>
      <c r="C67" s="443"/>
      <c r="D67" s="443"/>
      <c r="E67" s="444"/>
      <c r="F67" s="115"/>
      <c r="G67" s="115"/>
      <c r="H67" s="115"/>
      <c r="I67" s="115"/>
      <c r="J67" s="115"/>
      <c r="K67" s="115"/>
    </row>
    <row r="68" spans="2:11" ht="14.25" customHeight="1">
      <c r="B68" s="445"/>
      <c r="C68" s="446"/>
      <c r="D68" s="446"/>
      <c r="E68" s="447"/>
      <c r="F68" s="115"/>
      <c r="G68" s="115"/>
      <c r="H68" s="115"/>
      <c r="I68" s="115"/>
      <c r="J68" s="115"/>
      <c r="K68" s="115"/>
    </row>
    <row r="69" spans="2:11" ht="14.25" customHeight="1">
      <c r="B69" s="115"/>
      <c r="C69" s="115"/>
      <c r="D69" s="115"/>
      <c r="E69" s="115"/>
      <c r="F69" s="115"/>
      <c r="G69" s="115"/>
      <c r="H69" s="115"/>
      <c r="I69" s="115"/>
      <c r="J69" s="115"/>
      <c r="K69" s="115"/>
    </row>
    <row r="70" spans="2:11" ht="14.25" customHeight="1">
      <c r="B70" s="115"/>
      <c r="C70" s="115"/>
      <c r="D70" s="115"/>
      <c r="E70" s="115"/>
      <c r="F70" s="115"/>
      <c r="G70" s="115"/>
      <c r="H70" s="115"/>
      <c r="I70" s="115"/>
      <c r="J70" s="115"/>
      <c r="K70" s="115"/>
    </row>
    <row r="71" spans="2:11" ht="14.25" customHeight="1">
      <c r="B71" s="115"/>
      <c r="C71" s="115"/>
      <c r="D71" s="115"/>
      <c r="E71" s="115"/>
      <c r="F71" s="115"/>
      <c r="G71" s="115"/>
      <c r="H71" s="115"/>
      <c r="I71" s="115"/>
      <c r="J71" s="115"/>
      <c r="K71" s="115"/>
    </row>
    <row r="72" spans="2:11" ht="14.25" customHeight="1">
      <c r="B72" s="115"/>
      <c r="C72" s="115"/>
      <c r="D72" s="115"/>
      <c r="E72" s="115"/>
      <c r="F72" s="115"/>
      <c r="G72" s="115"/>
      <c r="H72" s="115"/>
      <c r="I72" s="115"/>
      <c r="J72" s="115"/>
      <c r="K72" s="115"/>
    </row>
    <row r="73" spans="2:11" ht="14.25" customHeight="1">
      <c r="B73" s="115"/>
      <c r="C73" s="115"/>
      <c r="D73" s="115"/>
      <c r="E73" s="115"/>
      <c r="F73" s="115"/>
      <c r="G73" s="115"/>
      <c r="H73" s="115"/>
      <c r="I73" s="115"/>
      <c r="J73" s="115"/>
      <c r="K73" s="115"/>
    </row>
    <row r="74" spans="2:11" ht="14.25" customHeight="1">
      <c r="B74" s="115"/>
      <c r="C74" s="115"/>
      <c r="D74" s="115"/>
      <c r="E74" s="115"/>
      <c r="F74" s="115"/>
      <c r="G74" s="115"/>
      <c r="H74" s="115"/>
      <c r="I74" s="115"/>
      <c r="J74" s="115"/>
      <c r="K74" s="115"/>
    </row>
    <row r="75" spans="2:11" ht="14.25" customHeight="1">
      <c r="B75" s="115"/>
      <c r="C75" s="115"/>
      <c r="D75" s="115"/>
      <c r="E75" s="115"/>
      <c r="F75" s="115"/>
      <c r="G75" s="115"/>
      <c r="H75" s="115"/>
      <c r="I75" s="115"/>
      <c r="J75" s="115"/>
      <c r="K75" s="115"/>
    </row>
    <row r="76" spans="2:11" ht="14.25" customHeight="1">
      <c r="B76" s="115"/>
      <c r="C76" s="115"/>
      <c r="D76" s="115"/>
      <c r="E76" s="115"/>
      <c r="F76" s="115"/>
      <c r="G76" s="115"/>
      <c r="H76" s="115"/>
      <c r="I76" s="115"/>
      <c r="J76" s="115"/>
      <c r="K76" s="115"/>
    </row>
    <row r="77" spans="2:11" ht="14.25" customHeight="1">
      <c r="B77" s="115"/>
      <c r="C77" s="115"/>
      <c r="D77" s="115"/>
      <c r="E77" s="115"/>
      <c r="F77" s="115"/>
      <c r="G77" s="115"/>
      <c r="H77" s="115"/>
      <c r="I77" s="115"/>
      <c r="J77" s="115"/>
      <c r="K77" s="115"/>
    </row>
    <row r="78" spans="2:11" ht="14.25" customHeight="1">
      <c r="B78" s="115"/>
      <c r="C78" s="115"/>
      <c r="D78" s="115"/>
      <c r="E78" s="115"/>
      <c r="F78" s="115"/>
      <c r="G78" s="115"/>
      <c r="H78" s="115"/>
      <c r="I78" s="115"/>
      <c r="J78" s="115"/>
      <c r="K78" s="115"/>
    </row>
    <row r="79" spans="2:11" ht="14.25" customHeight="1">
      <c r="B79" s="115"/>
      <c r="C79" s="115"/>
      <c r="D79" s="115"/>
      <c r="E79" s="115"/>
      <c r="F79" s="115"/>
      <c r="G79" s="115"/>
      <c r="H79" s="115"/>
      <c r="I79" s="115"/>
      <c r="J79" s="115"/>
      <c r="K79" s="115"/>
    </row>
    <row r="80" spans="2:11" ht="14.25" customHeight="1">
      <c r="B80" s="115"/>
      <c r="C80" s="115"/>
      <c r="D80" s="115"/>
      <c r="E80" s="115"/>
      <c r="F80" s="115"/>
      <c r="G80" s="115"/>
      <c r="H80" s="115"/>
      <c r="I80" s="115"/>
      <c r="J80" s="115"/>
      <c r="K80" s="115"/>
    </row>
    <row r="81" spans="2:11" ht="14.25" customHeight="1">
      <c r="B81" s="115"/>
      <c r="C81" s="115"/>
      <c r="D81" s="115"/>
      <c r="E81" s="115"/>
      <c r="F81" s="115"/>
      <c r="G81" s="115"/>
      <c r="H81" s="115"/>
      <c r="I81" s="115"/>
      <c r="J81" s="115"/>
      <c r="K81" s="115"/>
    </row>
    <row r="82" spans="2:11" ht="14.25" customHeight="1">
      <c r="B82" s="115"/>
      <c r="C82" s="115"/>
      <c r="D82" s="115"/>
      <c r="E82" s="115"/>
      <c r="F82" s="115"/>
      <c r="G82" s="115"/>
      <c r="H82" s="115"/>
      <c r="I82" s="115"/>
      <c r="J82" s="115"/>
      <c r="K82" s="115"/>
    </row>
  </sheetData>
  <sheetProtection algorithmName="SHA-512" hashValue="qTkVHMHE+X37GHP8ZWXLYq0Qj5VvNKm1tjSifDH3Lb4KzSY6UvSOLRvio4X/S8rygdZHPx1EQ28SsEMQHroLZw==" saltValue="jtKIqE0osmQj0WCqM4LqsA==" spinCount="100000" sheet="1" formatColumns="0"/>
  <mergeCells count="3">
    <mergeCell ref="B62:E68"/>
    <mergeCell ref="B1:D1"/>
    <mergeCell ref="B2:E4"/>
  </mergeCells>
  <dataValidations count="2">
    <dataValidation operator="greaterThanOrEqual" allowBlank="1" showErrorMessage="1" errorTitle="Voer een bedrag in!" error="Voer een afgerond bedrag in." sqref="B62" xr:uid="{00000000-0002-0000-0500-000000000000}"/>
    <dataValidation type="whole" operator="greaterThanOrEqual" allowBlank="1" showErrorMessage="1" errorTitle="Voer een bedrag in!" error="Voer een afgerond bedrag in." sqref="C38:E38 C43:E43 C33:E33" xr:uid="{122D9CA0-94E3-4F93-BD29-D2767B38FC82}">
      <formula1>0</formula1>
    </dataValidation>
  </dataValidations>
  <pageMargins left="0.74803149606299213" right="0.74803149606299213" top="0.98425196850393704" bottom="0.98425196850393704" header="0.51181102362204722" footer="0.51181102362204722"/>
  <pageSetup paperSize="9" scale="75" firstPageNumber="0" fitToHeight="0" orientation="landscape" horizontalDpi="300" verticalDpi="3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50" id="{0F6A3E15-236E-4F6B-88BA-C0D74FCE53FE}">
            <xm:f>'Le mie risposte'!$D$7=dropdowns!$B$176</xm:f>
            <x14:dxf>
              <font>
                <color theme="0"/>
              </font>
              <fill>
                <patternFill>
                  <fgColor theme="0"/>
                </patternFill>
              </fill>
              <border>
                <left/>
                <right/>
                <top/>
                <bottom/>
                <vertical/>
                <horizontal/>
              </border>
            </x14:dxf>
          </x14:cfRule>
          <x14:cfRule type="expression" priority="151" id="{403254A9-DCA8-4380-AB29-D6FA48CE6261}">
            <xm:f>'Le mie risposte'!$D$7=dropdowns!#REF!</xm:f>
            <x14:dxf>
              <font>
                <color theme="0"/>
              </font>
              <fill>
                <patternFill>
                  <fgColor theme="0"/>
                </patternFill>
              </fill>
            </x14:dxf>
          </x14:cfRule>
          <x14:cfRule type="expression" priority="152" id="{562102E4-9110-4D84-97BF-8CAD7E2C9CF7}">
            <xm:f>'Le mie risposte'!$D$7=dropdowns!#REF!</xm:f>
            <x14:dxf>
              <font>
                <color theme="0"/>
              </font>
              <fill>
                <patternFill>
                  <fgColor theme="0"/>
                </patternFill>
              </fill>
            </x14:dxf>
          </x14:cfRule>
          <xm:sqref>B55:E55</xm:sqref>
        </x14:conditionalFormatting>
        <x14:conditionalFormatting xmlns:xm="http://schemas.microsoft.com/office/excel/2006/main">
          <x14:cfRule type="expression" priority="2" id="{92D86290-54A0-4098-B9C3-E726A5B5E0E6}">
            <xm:f>'Le mie risposte'!$D$7="Società di Capitali"</xm:f>
            <x14:dxf>
              <font>
                <color theme="0"/>
              </font>
              <fill>
                <patternFill>
                  <bgColor theme="0"/>
                </patternFill>
              </fill>
              <border>
                <left/>
                <right/>
                <top/>
                <bottom/>
              </border>
            </x14:dxf>
          </x14:cfRule>
          <xm:sqref>B36:E44</xm:sqref>
        </x14:conditionalFormatting>
        <x14:conditionalFormatting xmlns:xm="http://schemas.microsoft.com/office/excel/2006/main">
          <x14:cfRule type="expression" priority="1" id="{33C1516F-505C-43D6-92F5-55F8D5EB1B77}">
            <xm:f>'Le mie risposte'!$D$7="impresa individuale"</xm:f>
            <x14:dxf>
              <font>
                <color theme="0"/>
              </font>
              <fill>
                <patternFill>
                  <bgColor theme="0"/>
                </patternFill>
              </fill>
              <border>
                <left/>
                <right/>
                <top/>
                <bottom/>
                <vertical/>
                <horizontal/>
              </border>
            </x14:dxf>
          </x14:cfRule>
          <xm:sqref>B36:E39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6">
    <tabColor rgb="FFE2001A"/>
    <pageSetUpPr fitToPage="1"/>
  </sheetPr>
  <dimension ref="A1:P96"/>
  <sheetViews>
    <sheetView workbookViewId="0">
      <selection activeCell="C18" sqref="C18"/>
    </sheetView>
  </sheetViews>
  <sheetFormatPr defaultColWidth="9.140625" defaultRowHeight="14.25"/>
  <cols>
    <col min="1" max="1" width="3.5703125" style="105" customWidth="1"/>
    <col min="2" max="2" width="25.7109375" style="105" customWidth="1"/>
    <col min="3" max="3" width="16.28515625" style="105" bestFit="1" customWidth="1"/>
    <col min="4" max="14" width="12.7109375" style="105" customWidth="1"/>
    <col min="15" max="15" width="15.85546875" style="105" customWidth="1"/>
    <col min="16" max="16" width="2.7109375" style="109" customWidth="1"/>
    <col min="17" max="17" width="3.140625" style="105" customWidth="1"/>
    <col min="18" max="18" width="25.42578125" style="105" customWidth="1"/>
    <col min="19" max="20" width="9.140625" style="105"/>
    <col min="21" max="21" width="9.28515625" style="105" customWidth="1"/>
    <col min="22" max="16384" width="9.140625" style="105"/>
  </cols>
  <sheetData>
    <row r="1" spans="1:16" ht="63" customHeight="1">
      <c r="A1" s="343"/>
      <c r="B1" s="420" t="str">
        <f>Vertaling!B287</f>
      </c>
      <c r="C1" s="420"/>
      <c r="D1" s="420"/>
      <c r="E1" s="420"/>
      <c r="F1" s="420"/>
      <c r="G1" s="420"/>
      <c r="H1" s="420"/>
      <c r="I1" s="420"/>
      <c r="J1" s="343"/>
      <c r="K1" s="343"/>
      <c r="L1" s="343"/>
      <c r="M1" s="343"/>
      <c r="N1" s="343"/>
      <c r="O1" s="343"/>
      <c r="P1" s="105"/>
    </row>
    <row r="2" spans="1:16" ht="18.75" customHeight="1">
      <c r="B2" s="110" t="str">
        <f>Vertaling!B288</f>
      </c>
      <c r="D2" s="106"/>
      <c r="M2" s="339"/>
      <c r="N2" s="339" t="s">
        <v>25</v>
      </c>
      <c r="P2" s="105"/>
    </row>
    <row r="3" spans="1:16">
      <c r="B3" s="117" t="str">
        <f>Vertaling!B289</f>
      </c>
      <c r="C3" s="119">
        <f>C4/12</f>
      </c>
      <c r="E3" s="111"/>
      <c r="G3" s="124" t="str">
        <f>Vertaling!B304</f>
      </c>
      <c r="H3" s="125"/>
      <c r="I3" s="125"/>
      <c r="J3" s="129">
        <f>IF(C10=dropdowns!$B$185,(C8*C5/(1-(1+C8)^-(C4-C11+1))),IF(C10=dropdowns!$B$186,C9,0))</f>
      </c>
      <c r="P3" s="105"/>
    </row>
    <row r="4" spans="1:16" ht="15">
      <c r="A4" s="107"/>
      <c r="B4" s="118" t="str">
        <f>Vertaling!B290</f>
      </c>
      <c r="C4" s="120">
        <f>('Previsione di investimento'!C24*12)+'Previsione di investimento'!C26</f>
      </c>
      <c r="D4" s="111"/>
      <c r="E4" s="111"/>
      <c r="F4" s="111"/>
      <c r="G4" s="126" t="str">
        <f>Vertaling!B305</f>
      </c>
      <c r="H4" s="127"/>
      <c r="I4" s="127"/>
      <c r="J4" s="130">
        <f>O20+O28+O36+O44+O52+O60+O68+O76+O84+O92</f>
      </c>
      <c r="L4" s="112"/>
      <c r="M4" s="112"/>
      <c r="N4" s="112"/>
      <c r="O4" s="112"/>
      <c r="P4" s="105"/>
    </row>
    <row r="5" spans="1:16" ht="15">
      <c r="B5" s="118" t="str">
        <f>Vertaling!B291</f>
      </c>
      <c r="C5" s="409">
        <f>'Previsione di investimento'!C21</f>
      </c>
      <c r="D5" s="111"/>
      <c r="E5" s="111"/>
      <c r="F5" s="111"/>
      <c r="G5" s="126" t="str">
        <f>Vertaling!B306</f>
      </c>
      <c r="H5" s="127"/>
      <c r="I5" s="127"/>
      <c r="J5" s="130">
        <f>O18+O27+O35+O43+O51+O59+O67+O75+O83+O91</f>
      </c>
      <c r="K5" s="108"/>
      <c r="L5" s="112"/>
      <c r="M5" s="112"/>
      <c r="N5" s="112"/>
      <c r="O5" s="112"/>
      <c r="P5" s="105"/>
    </row>
    <row r="6" spans="1:16" ht="15">
      <c r="B6" s="118" t="str">
        <f>Vertaling!B292</f>
      </c>
      <c r="C6" s="122">
        <f>IF((C5*0.01)&gt;150,C5*0.01,150)</f>
      </c>
      <c r="D6" s="111"/>
      <c r="E6" s="111"/>
      <c r="F6" s="111"/>
      <c r="G6" s="126" t="str">
        <f>Vertaling!B307</f>
      </c>
      <c r="H6" s="127"/>
      <c r="I6" s="127"/>
      <c r="J6" s="130">
        <f>O17+O26+O34+O42+O50+O58+O66+O74+O82+O90</f>
      </c>
      <c r="L6" s="112"/>
      <c r="M6" s="112"/>
      <c r="N6" s="112"/>
      <c r="O6" s="112"/>
      <c r="P6" s="105"/>
    </row>
    <row r="7" spans="1:16" ht="15">
      <c r="B7" s="118" t="str">
        <f>Vertaling!B293</f>
      </c>
      <c r="C7" s="121">
        <f>'Previsione di investimento'!I22</f>
      </c>
      <c r="D7" s="111"/>
      <c r="E7" s="111"/>
      <c r="F7" s="111"/>
      <c r="G7" s="126" t="str">
        <f>Vertaling!B308</f>
      </c>
      <c r="H7" s="127"/>
      <c r="I7" s="127"/>
      <c r="J7" s="130">
        <f>O19</f>
      </c>
      <c r="L7" s="112"/>
      <c r="M7" s="112"/>
      <c r="N7" s="112"/>
      <c r="O7" s="112"/>
      <c r="P7" s="105"/>
    </row>
    <row r="8" spans="1:16" ht="15">
      <c r="B8" s="118" t="str">
        <f>Vertaling!B294</f>
      </c>
      <c r="C8" s="121">
        <f>C7/12</f>
      </c>
      <c r="D8" s="111"/>
      <c r="E8" s="111"/>
      <c r="F8" s="111"/>
      <c r="G8" s="128"/>
      <c r="H8" s="128"/>
      <c r="I8" s="128"/>
      <c r="J8" s="131"/>
      <c r="K8" s="112"/>
      <c r="L8" s="112"/>
      <c r="M8" s="112"/>
      <c r="N8" s="112"/>
      <c r="O8" s="112"/>
      <c r="P8" s="105"/>
    </row>
    <row r="9" spans="1:16" ht="15">
      <c r="B9" s="118" t="str">
        <f>Vertaling!B295</f>
      </c>
      <c r="C9" s="122">
        <f>C5/(C4-C11+1)</f>
      </c>
      <c r="D9" s="111"/>
      <c r="E9" s="111"/>
      <c r="F9" s="111"/>
      <c r="G9" s="126" t="str">
        <f>Vertaling!B342</f>
      </c>
      <c r="H9" s="127"/>
      <c r="I9" s="127"/>
      <c r="J9" s="121">
        <f ca="1">IFERROR(XIRR(Cashflow_met_kosten,Datums,0.001),0)</f>
      </c>
      <c r="K9" s="112"/>
      <c r="L9" s="112"/>
      <c r="M9" s="112"/>
      <c r="N9" s="112"/>
      <c r="O9" s="112"/>
      <c r="P9" s="105"/>
    </row>
    <row r="10" spans="1:16" ht="15" hidden="1">
      <c r="B10" s="118" t="str">
        <f>Vertaling!B296</f>
      </c>
      <c r="C10" s="122" t="str">
        <f>IF('Previsione di investimento'!$C$28="",dropdowns!$B$185,'Previsione di investimento'!$C$28)</f>
      </c>
      <c r="D10" s="111"/>
      <c r="E10" s="111"/>
      <c r="F10" s="111"/>
      <c r="K10" s="112"/>
      <c r="L10" s="112"/>
      <c r="M10" s="112"/>
      <c r="N10" s="112"/>
      <c r="O10" s="112"/>
      <c r="P10" s="105"/>
    </row>
    <row r="11" spans="1:16" ht="15">
      <c r="B11" s="118" t="str">
        <f>Vertaling!B297</f>
      </c>
      <c r="C11" s="123">
        <f>'Previsione di investimento'!C26+1</f>
      </c>
      <c r="D11" s="111"/>
      <c r="E11" s="111"/>
      <c r="F11" s="111"/>
      <c r="G11" s="126" t="str">
        <f>Vertaling!B309</f>
      </c>
      <c r="H11" s="127"/>
      <c r="I11" s="127"/>
      <c r="J11" s="121">
        <f ca="1">MIN(((1+J9)^(1/365)-1)*365,1)</f>
      </c>
      <c r="K11" s="112"/>
      <c r="L11" s="112"/>
      <c r="M11" s="112"/>
      <c r="N11" s="112"/>
      <c r="O11" s="112"/>
      <c r="P11" s="105"/>
    </row>
    <row r="12" spans="1:16" ht="15">
      <c r="B12" s="112"/>
      <c r="C12" s="113"/>
      <c r="D12" s="112"/>
      <c r="E12" s="112"/>
      <c r="F12" s="112"/>
      <c r="G12" s="112"/>
      <c r="H12" s="112"/>
      <c r="I12" s="112"/>
      <c r="J12" s="112"/>
      <c r="K12" s="112"/>
      <c r="L12" s="112"/>
      <c r="M12" s="112"/>
      <c r="N12" s="112"/>
      <c r="O12" s="112"/>
      <c r="P12" s="105"/>
    </row>
    <row r="13" spans="1:16" s="115" customFormat="1" ht="12.75">
      <c r="B13" s="335" t="str">
        <f>Vertaling!$B$298&amp;N13/12</f>
      </c>
      <c r="C13" s="336">
        <v>1</v>
      </c>
      <c r="D13" s="336">
        <f t="shared" ref="D13:N13" si="0">C13+1</f>
      </c>
      <c r="E13" s="336">
        <f t="shared" si="0"/>
      </c>
      <c r="F13" s="336">
        <f t="shared" si="0"/>
      </c>
      <c r="G13" s="336">
        <f t="shared" si="0"/>
      </c>
      <c r="H13" s="336">
        <f t="shared" si="0"/>
      </c>
      <c r="I13" s="336">
        <f t="shared" si="0"/>
      </c>
      <c r="J13" s="336">
        <f t="shared" si="0"/>
      </c>
      <c r="K13" s="336">
        <f t="shared" si="0"/>
      </c>
      <c r="L13" s="336">
        <f t="shared" si="0"/>
      </c>
      <c r="M13" s="336">
        <f t="shared" si="0"/>
      </c>
      <c r="N13" s="336">
        <f t="shared" si="0"/>
      </c>
      <c r="O13" s="336" t="s">
        <v>27</v>
      </c>
    </row>
    <row r="14" spans="1:16" s="115" customFormat="1" ht="12.75">
      <c r="B14" s="333"/>
      <c r="C14" s="334"/>
      <c r="D14" s="334"/>
      <c r="E14" s="334"/>
      <c r="F14" s="334"/>
      <c r="G14" s="334"/>
      <c r="H14" s="334"/>
      <c r="I14" s="334"/>
      <c r="J14" s="334"/>
      <c r="K14" s="334"/>
      <c r="L14" s="334"/>
      <c r="M14" s="334"/>
      <c r="N14" s="334"/>
      <c r="O14" s="334"/>
    </row>
    <row r="15" spans="1:16" s="115" customFormat="1" ht="12.75">
      <c r="B15" s="134" t="str">
        <f>Vertaling!$B$299</f>
      </c>
      <c r="C15" s="136">
        <f>C5</f>
      </c>
      <c r="D15" s="137">
        <f t="shared" ref="D15:N15" si="1">C15-C18</f>
      </c>
      <c r="E15" s="137">
        <f t="shared" si="1"/>
      </c>
      <c r="F15" s="137">
        <f t="shared" si="1"/>
      </c>
      <c r="G15" s="137">
        <f t="shared" si="1"/>
      </c>
      <c r="H15" s="137">
        <f t="shared" si="1"/>
      </c>
      <c r="I15" s="137">
        <f t="shared" si="1"/>
      </c>
      <c r="J15" s="137">
        <f t="shared" si="1"/>
      </c>
      <c r="K15" s="137">
        <f t="shared" si="1"/>
      </c>
      <c r="L15" s="137">
        <f t="shared" si="1"/>
      </c>
      <c r="M15" s="137">
        <f t="shared" si="1"/>
      </c>
      <c r="N15" s="137">
        <f t="shared" si="1"/>
      </c>
      <c r="O15" s="138"/>
    </row>
    <row r="16" spans="1:16" s="115" customFormat="1" ht="12.75">
      <c r="B16" s="134"/>
      <c r="C16" s="134"/>
      <c r="D16" s="134"/>
      <c r="E16" s="134"/>
      <c r="F16" s="134"/>
      <c r="G16" s="134"/>
      <c r="H16" s="134"/>
      <c r="I16" s="134"/>
      <c r="J16" s="134"/>
      <c r="K16" s="134"/>
      <c r="L16" s="134"/>
      <c r="M16" s="134"/>
      <c r="N16" s="134"/>
      <c r="O16" s="134"/>
    </row>
    <row r="17" spans="2:15" s="115" customFormat="1" ht="12.75">
      <c r="B17" s="134" t="str">
        <f>Vertaling!$B$300</f>
      </c>
      <c r="C17" s="137">
        <f>IF(C15&lt;0.001,0,$C$8*C15)</f>
      </c>
      <c r="D17" s="137">
        <f t="shared" ref="D17:N17" si="2">IF(D15&lt;0.001,0,$C$8*D15)</f>
      </c>
      <c r="E17" s="137">
        <f t="shared" si="2"/>
      </c>
      <c r="F17" s="137">
        <f t="shared" si="2"/>
      </c>
      <c r="G17" s="137">
        <f t="shared" si="2"/>
      </c>
      <c r="H17" s="137">
        <f t="shared" si="2"/>
      </c>
      <c r="I17" s="137">
        <f t="shared" si="2"/>
      </c>
      <c r="J17" s="137">
        <f t="shared" si="2"/>
      </c>
      <c r="K17" s="137">
        <f t="shared" si="2"/>
      </c>
      <c r="L17" s="137">
        <f t="shared" si="2"/>
      </c>
      <c r="M17" s="137">
        <f t="shared" si="2"/>
      </c>
      <c r="N17" s="137">
        <f t="shared" si="2"/>
      </c>
      <c r="O17" s="138">
        <f>SUM(C17:N17)</f>
      </c>
    </row>
    <row r="18" spans="2:15" s="115" customFormat="1" ht="12.75">
      <c r="B18" s="134" t="str">
        <f>Vertaling!$B$301</f>
      </c>
      <c r="C18" s="137">
        <f>IF(C15&lt;0.001,0,IF(C13&lt;$C$11,0,IF($C$10=dropdowns!$B$186,$C$9,IF($C$10=dropdowns!$B$185,IFERROR((C17/(1-(1+$C$7/12)^-($C$4-0)))-C17,0),0))))</f>
      </c>
      <c r="D18" s="137">
        <f>IF(D15&lt;0.001,0,IF(D13&lt;$C$11,0,IF($C$10=dropdowns!$B$186,$C$9,IF($C$10=dropdowns!$B$185,IFERROR((D17/(1-(1+$C$7/12)^-($C$4-C13)))-D17,0),0))))</f>
      </c>
      <c r="E18" s="137">
        <f>IF(E15&lt;0.001,0,IF(E13&lt;$C$11,0,IF($C$10=dropdowns!$B$186,$C$9,IF($C$10=dropdowns!$B$185,IFERROR((E17/(1-(1+$C$7/12)^-($C$4-D13)))-E17,0),0))))</f>
      </c>
      <c r="F18" s="137">
        <f>IF(F15&lt;0.001,0,IF(F13&lt;$C$11,0,IF($C$10=dropdowns!$B$186,$C$9,IF($C$10=dropdowns!$B$185,IFERROR((F17/(1-(1+$C$7/12)^-($C$4-E13)))-F17,0),0))))</f>
      </c>
      <c r="G18" s="137">
        <f>IF(G15&lt;0.001,0,IF(G13&lt;$C$11,0,IF($C$10=dropdowns!$B$186,$C$9,IF($C$10=dropdowns!$B$185,IFERROR((G17/(1-(1+$C$7/12)^-($C$4-F13)))-G17,0),0))))</f>
      </c>
      <c r="H18" s="137">
        <f>IF(H15&lt;0.001,0,IF(H13&lt;$C$11,0,IF($C$10=dropdowns!$B$186,$C$9,IF($C$10=dropdowns!$B$185,IFERROR((H17/(1-(1+$C$7/12)^-($C$4-G13)))-H17,0),0))))</f>
      </c>
      <c r="I18" s="137">
        <f>IF(I15&lt;0.001,0,IF(I13&lt;$C$11,0,IF($C$10=dropdowns!$B$186,$C$9,IF($C$10=dropdowns!$B$185,IFERROR((I17/(1-(1+$C$7/12)^-($C$4-H13)))-I17,0),0))))</f>
      </c>
      <c r="J18" s="137">
        <f>IF(J15&lt;0.001,0,IF(J13&lt;$C$11,0,IF($C$10=dropdowns!$B$186,$C$9,IF($C$10=dropdowns!$B$185,IFERROR((J17/(1-(1+$C$7/12)^-($C$4-I13)))-J17,0),0))))</f>
      </c>
      <c r="K18" s="137">
        <f>IF(K15&lt;0.001,0,IF(K13&lt;$C$11,0,IF($C$10=dropdowns!$B$186,$C$9,IF($C$10=dropdowns!$B$185,IFERROR((K17/(1-(1+$C$7/12)^-($C$4-J13)))-K17,0),0))))</f>
      </c>
      <c r="L18" s="137">
        <f>IF(L15&lt;0.001,0,IF(L13&lt;$C$11,0,IF($C$10=dropdowns!$B$186,$C$9,IF($C$10=dropdowns!$B$185,IFERROR((L17/(1-(1+$C$7/12)^-($C$4-K13)))-L17,0),0))))</f>
      </c>
      <c r="M18" s="137">
        <f>IF(M15&lt;0.001,0,IF(M13&lt;$C$11,0,IF($C$10=dropdowns!$B$186,$C$9,IF($C$10=dropdowns!$B$185,IFERROR((M17/(1-(1+$C$7/12)^-($C$4-L13)))-M17,0),0))))</f>
      </c>
      <c r="N18" s="137">
        <f>IF(N15&lt;0.001,0,IF(N13&lt;$C$11,0,IF($C$10=dropdowns!$B$186,$C$9,IF($C$10=dropdowns!$B$185,IFERROR((N17/(1-(1+$C$7/12)^-($C$4-M13)))-N17,0),0))))</f>
      </c>
      <c r="O18" s="138">
        <f>SUM(C18:N18)</f>
      </c>
    </row>
    <row r="19" spans="2:15" s="115" customFormat="1" ht="12.75">
      <c r="B19" s="135" t="str">
        <f>Vertaling!$B$302</f>
      </c>
      <c r="C19" s="139">
        <f>C6</f>
      </c>
      <c r="D19" s="139"/>
      <c r="E19" s="139"/>
      <c r="F19" s="139"/>
      <c r="G19" s="139"/>
      <c r="H19" s="139"/>
      <c r="I19" s="139"/>
      <c r="J19" s="139"/>
      <c r="K19" s="139"/>
      <c r="L19" s="139"/>
      <c r="M19" s="139"/>
      <c r="N19" s="139"/>
      <c r="O19" s="140">
        <f>SUM(C19:N19)</f>
      </c>
    </row>
    <row r="20" spans="2:15" s="115" customFormat="1" ht="25.5">
      <c r="B20" s="143" t="str">
        <f>Vertaling!$B$303</f>
      </c>
      <c r="C20" s="141">
        <f t="shared" ref="C20:N20" si="3">SUM(C17:C19)</f>
      </c>
      <c r="D20" s="141">
        <f t="shared" si="3"/>
      </c>
      <c r="E20" s="141">
        <f t="shared" si="3"/>
      </c>
      <c r="F20" s="141">
        <f t="shared" si="3"/>
      </c>
      <c r="G20" s="141">
        <f t="shared" si="3"/>
      </c>
      <c r="H20" s="141">
        <f t="shared" si="3"/>
      </c>
      <c r="I20" s="141">
        <f t="shared" si="3"/>
      </c>
      <c r="J20" s="141">
        <f t="shared" si="3"/>
      </c>
      <c r="K20" s="141">
        <f t="shared" si="3"/>
      </c>
      <c r="L20" s="141">
        <f t="shared" si="3"/>
      </c>
      <c r="M20" s="141">
        <f t="shared" si="3"/>
      </c>
      <c r="N20" s="141">
        <f t="shared" si="3"/>
      </c>
      <c r="O20" s="142">
        <f>SUM(C20:N20)</f>
      </c>
    </row>
    <row r="21" spans="2:15" s="115" customFormat="1" ht="12.75"/>
    <row r="22" spans="2:15" s="115" customFormat="1" ht="12.75">
      <c r="B22" s="335" t="str">
        <f>Vertaling!$B$298&amp;N22/12</f>
      </c>
      <c r="C22" s="336">
        <f>N13+1</f>
      </c>
      <c r="D22" s="336">
        <f t="shared" ref="D22:N22" si="4">C22+1</f>
      </c>
      <c r="E22" s="336">
        <f t="shared" si="4"/>
      </c>
      <c r="F22" s="336">
        <f t="shared" si="4"/>
      </c>
      <c r="G22" s="336">
        <f t="shared" si="4"/>
      </c>
      <c r="H22" s="336">
        <f t="shared" si="4"/>
      </c>
      <c r="I22" s="336">
        <f t="shared" si="4"/>
      </c>
      <c r="J22" s="336">
        <f t="shared" si="4"/>
      </c>
      <c r="K22" s="336">
        <f t="shared" si="4"/>
      </c>
      <c r="L22" s="336">
        <f t="shared" si="4"/>
      </c>
      <c r="M22" s="336">
        <f t="shared" si="4"/>
      </c>
      <c r="N22" s="336">
        <f t="shared" si="4"/>
      </c>
      <c r="O22" s="336" t="s">
        <v>27</v>
      </c>
    </row>
    <row r="23" spans="2:15" s="115" customFormat="1" ht="12.75">
      <c r="B23" s="132"/>
      <c r="C23" s="133"/>
      <c r="D23" s="133"/>
      <c r="E23" s="133"/>
      <c r="F23" s="133"/>
      <c r="G23" s="133"/>
      <c r="H23" s="133"/>
      <c r="I23" s="133"/>
      <c r="J23" s="133"/>
      <c r="K23" s="133"/>
      <c r="L23" s="133"/>
      <c r="M23" s="133"/>
      <c r="N23" s="133"/>
      <c r="O23" s="133"/>
    </row>
    <row r="24" spans="2:15" s="115" customFormat="1" ht="12.75">
      <c r="B24" s="134" t="str">
        <f>Vertaling!$B$299</f>
      </c>
      <c r="C24" s="136">
        <f>N15-N18</f>
      </c>
      <c r="D24" s="137">
        <f t="shared" ref="D24:N24" si="5">C24-C27</f>
      </c>
      <c r="E24" s="137">
        <f t="shared" si="5"/>
      </c>
      <c r="F24" s="137">
        <f t="shared" si="5"/>
      </c>
      <c r="G24" s="137">
        <f t="shared" si="5"/>
      </c>
      <c r="H24" s="137">
        <f t="shared" si="5"/>
      </c>
      <c r="I24" s="137">
        <f t="shared" si="5"/>
      </c>
      <c r="J24" s="137">
        <f t="shared" si="5"/>
      </c>
      <c r="K24" s="137">
        <f t="shared" si="5"/>
      </c>
      <c r="L24" s="137">
        <f t="shared" si="5"/>
      </c>
      <c r="M24" s="137">
        <f t="shared" si="5"/>
      </c>
      <c r="N24" s="137">
        <f t="shared" si="5"/>
      </c>
      <c r="O24" s="138"/>
    </row>
    <row r="25" spans="2:15" s="115" customFormat="1" ht="12.75">
      <c r="B25" s="134"/>
      <c r="C25" s="134"/>
      <c r="D25" s="134"/>
      <c r="E25" s="134"/>
      <c r="F25" s="134"/>
      <c r="G25" s="134"/>
      <c r="H25" s="134"/>
      <c r="I25" s="134"/>
      <c r="J25" s="134"/>
      <c r="K25" s="134"/>
      <c r="L25" s="134"/>
      <c r="M25" s="134"/>
      <c r="N25" s="134"/>
      <c r="O25" s="134"/>
    </row>
    <row r="26" spans="2:15" s="115" customFormat="1" ht="12.75">
      <c r="B26" s="134" t="str">
        <f>Vertaling!$B$300</f>
      </c>
      <c r="C26" s="137">
        <f t="shared" ref="C26:N26" si="6">IF(C24&lt;0.001,0,$C$8*C24)</f>
      </c>
      <c r="D26" s="137">
        <f t="shared" si="6"/>
      </c>
      <c r="E26" s="137">
        <f t="shared" si="6"/>
      </c>
      <c r="F26" s="137">
        <f t="shared" si="6"/>
      </c>
      <c r="G26" s="137">
        <f t="shared" si="6"/>
      </c>
      <c r="H26" s="137">
        <f t="shared" si="6"/>
      </c>
      <c r="I26" s="137">
        <f t="shared" si="6"/>
      </c>
      <c r="J26" s="137">
        <f t="shared" si="6"/>
      </c>
      <c r="K26" s="137">
        <f t="shared" si="6"/>
      </c>
      <c r="L26" s="137">
        <f t="shared" si="6"/>
      </c>
      <c r="M26" s="137">
        <f t="shared" si="6"/>
      </c>
      <c r="N26" s="137">
        <f t="shared" si="6"/>
      </c>
      <c r="O26" s="138">
        <f>SUM(C26:N26)</f>
      </c>
    </row>
    <row r="27" spans="2:15" s="115" customFormat="1" ht="12.75">
      <c r="B27" s="134" t="str">
        <f>Vertaling!$B$301</f>
      </c>
      <c r="C27" s="137">
        <f>IF(C24&lt;0.001,0,IF(C22&lt;$C$11,0,IF($C$10=dropdowns!$B$186,$C$9,IF($C$10=dropdowns!$B$185,IFERROR((C26/(1-(1+$C$7/12)^-($C$4-N13)))-C26,0),0))))</f>
      </c>
      <c r="D27" s="137">
        <f>IF(D24&lt;0.001,0,IF(D22&lt;$C$11,0,IF($C$10=dropdowns!$B$186,$C$9,IF($C$10=dropdowns!$B$185,IFERROR((D26/(1-(1+$C$7/12)^-($C$4-C22)))-D26,0),0))))</f>
      </c>
      <c r="E27" s="137">
        <f>IF(E24&lt;0.001,0,IF(E22&lt;$C$11,0,IF($C$10=dropdowns!$B$186,$C$9,IF($C$10=dropdowns!$B$185,IFERROR((E26/(1-(1+$C$7/12)^-($C$4-D22)))-E26,0),0))))</f>
      </c>
      <c r="F27" s="137">
        <f>IF(F24&lt;0.001,0,IF(F22&lt;$C$11,0,IF($C$10=dropdowns!$B$186,$C$9,IF($C$10=dropdowns!$B$185,IFERROR((F26/(1-(1+$C$7/12)^-($C$4-E22)))-F26,0),0))))</f>
      </c>
      <c r="G27" s="137">
        <f>IF(G24&lt;0.001,0,IF(G22&lt;$C$11,0,IF($C$10=dropdowns!$B$186,$C$9,IF($C$10=dropdowns!$B$185,IFERROR((G26/(1-(1+$C$7/12)^-($C$4-F22)))-G26,0),0))))</f>
      </c>
      <c r="H27" s="137">
        <f>IF(H24&lt;0.001,0,IF(H22&lt;$C$11,0,IF($C$10=dropdowns!$B$186,$C$9,IF($C$10=dropdowns!$B$185,IFERROR((H26/(1-(1+$C$7/12)^-($C$4-G22)))-H26,0),0))))</f>
      </c>
      <c r="I27" s="137">
        <f>IF(I24&lt;0.001,0,IF(I22&lt;$C$11,0,IF($C$10=dropdowns!$B$186,$C$9,IF($C$10=dropdowns!$B$185,IFERROR((I26/(1-(1+$C$7/12)^-($C$4-H22)))-I26,0),0))))</f>
      </c>
      <c r="J27" s="137">
        <f>IF(J24&lt;0.001,0,IF(J22&lt;$C$11,0,IF($C$10=dropdowns!$B$186,$C$9,IF($C$10=dropdowns!$B$185,IFERROR((J26/(1-(1+$C$7/12)^-($C$4-I22)))-J26,0),0))))</f>
      </c>
      <c r="K27" s="137">
        <f>IF(K24&lt;0.001,0,IF(K22&lt;$C$11,0,IF($C$10=dropdowns!$B$186,$C$9,IF($C$10=dropdowns!$B$185,IFERROR((K26/(1-(1+$C$7/12)^-($C$4-J22)))-K26,0),0))))</f>
      </c>
      <c r="L27" s="137">
        <f>IF(L24&lt;0.001,0,IF(L22&lt;$C$11,0,IF($C$10=dropdowns!$B$186,$C$9,IF($C$10=dropdowns!$B$185,IFERROR((L26/(1-(1+$C$7/12)^-($C$4-K22)))-L26,0),0))))</f>
      </c>
      <c r="M27" s="137">
        <f>IF(M24&lt;0.001,0,IF(M22&lt;$C$11,0,IF($C$10=dropdowns!$B$186,$C$9,IF($C$10=dropdowns!$B$185,IFERROR((M26/(1-(1+$C$7/12)^-($C$4-L22)))-M26,0),0))))</f>
      </c>
      <c r="N27" s="137">
        <f>IF(N24&lt;0.001,0,IF(N22&lt;$C$11,0,IF($C$10=dropdowns!$B$186,$C$9,IF($C$10=dropdowns!$B$185,IFERROR((N26/(1-(1+$C$7/12)^-($C$4-M22)))-N26,0),0))))</f>
      </c>
      <c r="O27" s="138">
        <f>SUM(C27:N27)</f>
      </c>
    </row>
    <row r="28" spans="2:15" s="115" customFormat="1" ht="25.5">
      <c r="B28" s="143" t="str">
        <f>Vertaling!$B$303</f>
      </c>
      <c r="C28" s="141">
        <f t="shared" ref="C28:N28" si="7">SUM(C26:C27)</f>
      </c>
      <c r="D28" s="141">
        <f t="shared" si="7"/>
      </c>
      <c r="E28" s="141">
        <f t="shared" si="7"/>
      </c>
      <c r="F28" s="141">
        <f t="shared" si="7"/>
      </c>
      <c r="G28" s="141">
        <f t="shared" si="7"/>
      </c>
      <c r="H28" s="141">
        <f t="shared" si="7"/>
      </c>
      <c r="I28" s="141">
        <f t="shared" si="7"/>
      </c>
      <c r="J28" s="141">
        <f t="shared" si="7"/>
      </c>
      <c r="K28" s="141">
        <f t="shared" si="7"/>
      </c>
      <c r="L28" s="141">
        <f t="shared" si="7"/>
      </c>
      <c r="M28" s="141">
        <f t="shared" si="7"/>
      </c>
      <c r="N28" s="141">
        <f t="shared" si="7"/>
      </c>
      <c r="O28" s="142">
        <f>SUM(C28:N28)</f>
      </c>
    </row>
    <row r="29" spans="2:15" s="115" customFormat="1" ht="12.75"/>
    <row r="30" spans="2:15" s="115" customFormat="1" ht="12.75">
      <c r="B30" s="335" t="str">
        <f>Vertaling!$B$298&amp;N30/12</f>
      </c>
      <c r="C30" s="336">
        <f>N22+1</f>
      </c>
      <c r="D30" s="336">
        <f t="shared" ref="D30:N30" si="8">C30+1</f>
      </c>
      <c r="E30" s="336">
        <f t="shared" si="8"/>
      </c>
      <c r="F30" s="336">
        <f t="shared" si="8"/>
      </c>
      <c r="G30" s="336">
        <f t="shared" si="8"/>
      </c>
      <c r="H30" s="336">
        <f t="shared" si="8"/>
      </c>
      <c r="I30" s="336">
        <f t="shared" si="8"/>
      </c>
      <c r="J30" s="336">
        <f t="shared" si="8"/>
      </c>
      <c r="K30" s="336">
        <f t="shared" si="8"/>
      </c>
      <c r="L30" s="336">
        <f t="shared" si="8"/>
      </c>
      <c r="M30" s="336">
        <f t="shared" si="8"/>
      </c>
      <c r="N30" s="336">
        <f t="shared" si="8"/>
      </c>
      <c r="O30" s="336" t="s">
        <v>27</v>
      </c>
    </row>
    <row r="31" spans="2:15" s="115" customFormat="1" ht="12.75">
      <c r="B31" s="132"/>
      <c r="C31" s="133"/>
      <c r="D31" s="133"/>
      <c r="E31" s="133"/>
      <c r="F31" s="133"/>
      <c r="G31" s="133"/>
      <c r="H31" s="133"/>
      <c r="I31" s="133"/>
      <c r="J31" s="133"/>
      <c r="K31" s="133"/>
      <c r="L31" s="133"/>
      <c r="M31" s="133"/>
      <c r="N31" s="133"/>
      <c r="O31" s="133"/>
    </row>
    <row r="32" spans="2:15" s="115" customFormat="1" ht="12.75">
      <c r="B32" s="134" t="str">
        <f>Vertaling!$B$299</f>
      </c>
      <c r="C32" s="136">
        <f>N24-N27</f>
      </c>
      <c r="D32" s="137">
        <f t="shared" ref="D32:N32" si="9">C32-C35</f>
      </c>
      <c r="E32" s="137">
        <f t="shared" si="9"/>
      </c>
      <c r="F32" s="137">
        <f t="shared" si="9"/>
      </c>
      <c r="G32" s="137">
        <f t="shared" si="9"/>
      </c>
      <c r="H32" s="137">
        <f t="shared" si="9"/>
      </c>
      <c r="I32" s="137">
        <f t="shared" si="9"/>
      </c>
      <c r="J32" s="137">
        <f t="shared" si="9"/>
      </c>
      <c r="K32" s="137">
        <f t="shared" si="9"/>
      </c>
      <c r="L32" s="137">
        <f t="shared" si="9"/>
      </c>
      <c r="M32" s="137">
        <f t="shared" si="9"/>
      </c>
      <c r="N32" s="137">
        <f t="shared" si="9"/>
      </c>
      <c r="O32" s="138"/>
    </row>
    <row r="33" spans="2:15" s="115" customFormat="1" ht="12.75">
      <c r="B33" s="134"/>
      <c r="C33" s="134"/>
      <c r="D33" s="134"/>
      <c r="E33" s="134"/>
      <c r="F33" s="134"/>
      <c r="G33" s="134"/>
      <c r="H33" s="134"/>
      <c r="I33" s="134"/>
      <c r="J33" s="134"/>
      <c r="K33" s="134"/>
      <c r="L33" s="134"/>
      <c r="M33" s="134"/>
      <c r="N33" s="134"/>
      <c r="O33" s="134"/>
    </row>
    <row r="34" spans="2:15" s="115" customFormat="1" ht="12.75">
      <c r="B34" s="134" t="str">
        <f>Vertaling!$B$300</f>
      </c>
      <c r="C34" s="137">
        <f t="shared" ref="C34:N34" si="10">IF(C32&lt;0.001,0,$C$8*C32)</f>
      </c>
      <c r="D34" s="137">
        <f t="shared" si="10"/>
      </c>
      <c r="E34" s="137">
        <f t="shared" si="10"/>
      </c>
      <c r="F34" s="137">
        <f t="shared" si="10"/>
      </c>
      <c r="G34" s="137">
        <f t="shared" si="10"/>
      </c>
      <c r="H34" s="137">
        <f t="shared" si="10"/>
      </c>
      <c r="I34" s="137">
        <f t="shared" si="10"/>
      </c>
      <c r="J34" s="137">
        <f t="shared" si="10"/>
      </c>
      <c r="K34" s="137">
        <f t="shared" si="10"/>
      </c>
      <c r="L34" s="137">
        <f t="shared" si="10"/>
      </c>
      <c r="M34" s="137">
        <f t="shared" si="10"/>
      </c>
      <c r="N34" s="137">
        <f t="shared" si="10"/>
      </c>
      <c r="O34" s="138">
        <f>SUM(C34:N34)</f>
      </c>
    </row>
    <row r="35" spans="2:15" s="115" customFormat="1" ht="12.75">
      <c r="B35" s="134" t="str">
        <f>Vertaling!$B$301</f>
      </c>
      <c r="C35" s="137">
        <f>IF(C32&lt;0.001,0,IF(C30&lt;$C$11,0,IF($C$10=dropdowns!$B$186,$C$9,IF($C$10=dropdowns!$B$185,IFERROR((C34/(1-(1+$C$7/12)^-($C$4-N22)))-C34,0),0))))</f>
      </c>
      <c r="D35" s="137">
        <f>IF(D32&lt;0.001,0,IF(D30&lt;$C$11,0,IF($C$10=dropdowns!$B$186,$C$9,IF($C$10=dropdowns!$B$185,IFERROR((D34/(1-(1+$C$7/12)^-($C$4-C30)))-D34,0),0))))</f>
      </c>
      <c r="E35" s="137">
        <f>IF(E32&lt;0.001,0,IF(E30&lt;$C$11,0,IF($C$10=dropdowns!$B$186,$C$9,IF($C$10=dropdowns!$B$185,IFERROR((E34/(1-(1+$C$7/12)^-($C$4-D30)))-E34,0),0))))</f>
      </c>
      <c r="F35" s="137">
        <f>IF(F32&lt;0.001,0,IF(F30&lt;$C$11,0,IF($C$10=dropdowns!$B$186,$C$9,IF($C$10=dropdowns!$B$185,IFERROR((F34/(1-(1+$C$7/12)^-($C$4-E30)))-F34,0),0))))</f>
      </c>
      <c r="G35" s="137">
        <f>IF(G32&lt;0.001,0,IF(G30&lt;$C$11,0,IF($C$10=dropdowns!$B$186,$C$9,IF($C$10=dropdowns!$B$185,IFERROR((G34/(1-(1+$C$7/12)^-($C$4-F30)))-G34,0),0))))</f>
      </c>
      <c r="H35" s="137">
        <f>IF(H32&lt;0.001,0,IF(H30&lt;$C$11,0,IF($C$10=dropdowns!$B$186,$C$9,IF($C$10=dropdowns!$B$185,IFERROR((H34/(1-(1+$C$7/12)^-($C$4-G30)))-H34,0),0))))</f>
      </c>
      <c r="I35" s="137">
        <f>IF(I32&lt;0.001,0,IF(I30&lt;$C$11,0,IF($C$10=dropdowns!$B$186,$C$9,IF($C$10=dropdowns!$B$185,IFERROR((I34/(1-(1+$C$7/12)^-($C$4-H30)))-I34,0),0))))</f>
      </c>
      <c r="J35" s="137">
        <f>IF(J32&lt;0.001,0,IF(J30&lt;$C$11,0,IF($C$10=dropdowns!$B$186,$C$9,IF($C$10=dropdowns!$B$185,IFERROR((J34/(1-(1+$C$7/12)^-($C$4-I30)))-J34,0),0))))</f>
      </c>
      <c r="K35" s="137">
        <f>IF(K32&lt;0.001,0,IF(K30&lt;$C$11,0,IF($C$10=dropdowns!$B$186,$C$9,IF($C$10=dropdowns!$B$185,IFERROR((K34/(1-(1+$C$7/12)^-($C$4-J30)))-K34,0),0))))</f>
      </c>
      <c r="L35" s="137">
        <f>IF(L32&lt;0.001,0,IF(L30&lt;$C$11,0,IF($C$10=dropdowns!$B$186,$C$9,IF($C$10=dropdowns!$B$185,IFERROR((L34/(1-(1+$C$7/12)^-($C$4-K30)))-L34,0),0))))</f>
      </c>
      <c r="M35" s="137">
        <f>IF(M32&lt;0.001,0,IF(M30&lt;$C$11,0,IF($C$10=dropdowns!$B$186,$C$9,IF($C$10=dropdowns!$B$185,IFERROR((M34/(1-(1+$C$7/12)^-($C$4-L30)))-M34,0),0))))</f>
      </c>
      <c r="N35" s="137">
        <f>IF(N32&lt;0.001,0,IF(N30&lt;$C$11,0,IF($C$10=dropdowns!$B$186,$C$9,IF($C$10=dropdowns!$B$185,IFERROR((N34/(1-(1+$C$7/12)^-($C$4-M30)))-N34,0),0))))</f>
      </c>
      <c r="O35" s="138">
        <f>SUM(C35:N35)</f>
      </c>
    </row>
    <row r="36" spans="2:15" s="115" customFormat="1" ht="25.5">
      <c r="B36" s="143" t="str">
        <f>Vertaling!$B$303</f>
      </c>
      <c r="C36" s="141">
        <f t="shared" ref="C36:N36" si="11">SUM(C34:C35)</f>
      </c>
      <c r="D36" s="141">
        <f t="shared" si="11"/>
      </c>
      <c r="E36" s="141">
        <f t="shared" si="11"/>
      </c>
      <c r="F36" s="141">
        <f t="shared" si="11"/>
      </c>
      <c r="G36" s="141">
        <f t="shared" si="11"/>
      </c>
      <c r="H36" s="141">
        <f t="shared" si="11"/>
      </c>
      <c r="I36" s="141">
        <f t="shared" si="11"/>
      </c>
      <c r="J36" s="141">
        <f t="shared" si="11"/>
      </c>
      <c r="K36" s="141">
        <f t="shared" si="11"/>
      </c>
      <c r="L36" s="141">
        <f t="shared" si="11"/>
      </c>
      <c r="M36" s="141">
        <f t="shared" si="11"/>
      </c>
      <c r="N36" s="141">
        <f t="shared" si="11"/>
      </c>
      <c r="O36" s="142">
        <f>SUM(C36:N36)</f>
      </c>
    </row>
    <row r="37" spans="2:15" s="115" customFormat="1" ht="12.75"/>
    <row r="38" spans="2:15" s="115" customFormat="1" ht="12.75">
      <c r="B38" s="335" t="str">
        <f>Vertaling!$B$298&amp;N38/12</f>
      </c>
      <c r="C38" s="336">
        <f>N30+1</f>
      </c>
      <c r="D38" s="336">
        <f t="shared" ref="D38:N38" si="12">C38+1</f>
      </c>
      <c r="E38" s="336">
        <f t="shared" si="12"/>
      </c>
      <c r="F38" s="336">
        <f t="shared" si="12"/>
      </c>
      <c r="G38" s="336">
        <f t="shared" si="12"/>
      </c>
      <c r="H38" s="336">
        <f t="shared" si="12"/>
      </c>
      <c r="I38" s="336">
        <f t="shared" si="12"/>
      </c>
      <c r="J38" s="336">
        <f t="shared" si="12"/>
      </c>
      <c r="K38" s="336">
        <f t="shared" si="12"/>
      </c>
      <c r="L38" s="336">
        <f t="shared" si="12"/>
      </c>
      <c r="M38" s="336">
        <f t="shared" si="12"/>
      </c>
      <c r="N38" s="336">
        <f t="shared" si="12"/>
      </c>
      <c r="O38" s="336" t="s">
        <v>27</v>
      </c>
    </row>
    <row r="39" spans="2:15" s="115" customFormat="1" ht="12.75">
      <c r="B39" s="132"/>
      <c r="C39" s="133"/>
      <c r="D39" s="133"/>
      <c r="E39" s="133"/>
      <c r="F39" s="133"/>
      <c r="G39" s="133"/>
      <c r="H39" s="133"/>
      <c r="I39" s="133"/>
      <c r="J39" s="133"/>
      <c r="K39" s="133"/>
      <c r="L39" s="133"/>
      <c r="M39" s="133"/>
      <c r="N39" s="133"/>
      <c r="O39" s="133"/>
    </row>
    <row r="40" spans="2:15" s="115" customFormat="1" ht="12.75">
      <c r="B40" s="134" t="str">
        <f>Vertaling!$B$299</f>
      </c>
      <c r="C40" s="136">
        <f>N32-N35</f>
      </c>
      <c r="D40" s="137">
        <f t="shared" ref="D40:N40" si="13">C40-C43</f>
      </c>
      <c r="E40" s="137">
        <f t="shared" si="13"/>
      </c>
      <c r="F40" s="137">
        <f t="shared" si="13"/>
      </c>
      <c r="G40" s="137">
        <f t="shared" si="13"/>
      </c>
      <c r="H40" s="137">
        <f t="shared" si="13"/>
      </c>
      <c r="I40" s="137">
        <f t="shared" si="13"/>
      </c>
      <c r="J40" s="137">
        <f t="shared" si="13"/>
      </c>
      <c r="K40" s="137">
        <f t="shared" si="13"/>
      </c>
      <c r="L40" s="137">
        <f t="shared" si="13"/>
      </c>
      <c r="M40" s="137">
        <f t="shared" si="13"/>
      </c>
      <c r="N40" s="137">
        <f t="shared" si="13"/>
      </c>
      <c r="O40" s="138"/>
    </row>
    <row r="41" spans="2:15" s="115" customFormat="1" ht="12.75">
      <c r="B41" s="134"/>
      <c r="C41" s="134"/>
      <c r="D41" s="134"/>
      <c r="E41" s="134"/>
      <c r="F41" s="134"/>
      <c r="G41" s="134"/>
      <c r="H41" s="134"/>
      <c r="I41" s="134"/>
      <c r="J41" s="134"/>
      <c r="K41" s="134"/>
      <c r="L41" s="134"/>
      <c r="M41" s="134"/>
      <c r="N41" s="134"/>
      <c r="O41" s="134"/>
    </row>
    <row r="42" spans="2:15" s="115" customFormat="1" ht="12.75">
      <c r="B42" s="134" t="str">
        <f>Vertaling!$B$300</f>
      </c>
      <c r="C42" s="137">
        <f t="shared" ref="C42:N42" si="14">IF(C40&lt;0.001,0,$C$8*C40)</f>
      </c>
      <c r="D42" s="137">
        <f t="shared" si="14"/>
      </c>
      <c r="E42" s="137">
        <f t="shared" si="14"/>
      </c>
      <c r="F42" s="137">
        <f t="shared" si="14"/>
      </c>
      <c r="G42" s="137">
        <f t="shared" si="14"/>
      </c>
      <c r="H42" s="137">
        <f t="shared" si="14"/>
      </c>
      <c r="I42" s="137">
        <f t="shared" si="14"/>
      </c>
      <c r="J42" s="137">
        <f t="shared" si="14"/>
      </c>
      <c r="K42" s="137">
        <f t="shared" si="14"/>
      </c>
      <c r="L42" s="137">
        <f t="shared" si="14"/>
      </c>
      <c r="M42" s="137">
        <f t="shared" si="14"/>
      </c>
      <c r="N42" s="137">
        <f t="shared" si="14"/>
      </c>
      <c r="O42" s="138">
        <f>SUM(C42:N42)</f>
      </c>
    </row>
    <row r="43" spans="2:15" s="115" customFormat="1" ht="12.75">
      <c r="B43" s="134" t="str">
        <f>Vertaling!$B$301</f>
      </c>
      <c r="C43" s="137">
        <f>IF(C40&lt;0.001,0,IF(C38&lt;$C$11,0,IF($C$10=dropdowns!$B$186,$C$9,IF($C$10=dropdowns!$B$185,IFERROR((C42/(1-(1+$C$7/12)^-($C$4-N30)))-C42,0),0))))</f>
      </c>
      <c r="D43" s="137">
        <f>IF(D40&lt;0.001,0,IF(D38&lt;$C$11,0,IF($C$10=dropdowns!$B$186,$C$9,IF($C$10=dropdowns!$B$185,IFERROR((D42/(1-(1+$C$7/12)^-($C$4-C38)))-D42,0),0))))</f>
      </c>
      <c r="E43" s="137">
        <f>IF(E40&lt;0.001,0,IF(E38&lt;$C$11,0,IF($C$10=dropdowns!$B$186,$C$9,IF($C$10=dropdowns!$B$185,IFERROR((E42/(1-(1+$C$7/12)^-($C$4-D38)))-E42,0),0))))</f>
      </c>
      <c r="F43" s="137">
        <f>IF(F40&lt;0.001,0,IF(F38&lt;$C$11,0,IF($C$10=dropdowns!$B$186,$C$9,IF($C$10=dropdowns!$B$185,IFERROR((F42/(1-(1+$C$7/12)^-($C$4-E38)))-F42,0),0))))</f>
      </c>
      <c r="G43" s="137">
        <f>IF(G40&lt;0.001,0,IF(G38&lt;$C$11,0,IF($C$10=dropdowns!$B$186,$C$9,IF($C$10=dropdowns!$B$185,IFERROR((G42/(1-(1+$C$7/12)^-($C$4-F38)))-G42,0),0))))</f>
      </c>
      <c r="H43" s="137">
        <f>IF(H40&lt;0.001,0,IF(H38&lt;$C$11,0,IF($C$10=dropdowns!$B$186,$C$9,IF($C$10=dropdowns!$B$185,IFERROR((H42/(1-(1+$C$7/12)^-($C$4-G38)))-H42,0),0))))</f>
      </c>
      <c r="I43" s="137">
        <f>IF(I40&lt;0.001,0,IF(I38&lt;$C$11,0,IF($C$10=dropdowns!$B$186,$C$9,IF($C$10=dropdowns!$B$185,IFERROR((I42/(1-(1+$C$7/12)^-($C$4-H38)))-I42,0),0))))</f>
      </c>
      <c r="J43" s="137">
        <f>IF(J40&lt;0.001,0,IF(J38&lt;$C$11,0,IF($C$10=dropdowns!$B$186,$C$9,IF($C$10=dropdowns!$B$185,IFERROR((J42/(1-(1+$C$7/12)^-($C$4-I38)))-J42,0),0))))</f>
      </c>
      <c r="K43" s="137">
        <f>IF(K40&lt;0.001,0,IF(K38&lt;$C$11,0,IF($C$10=dropdowns!$B$186,$C$9,IF($C$10=dropdowns!$B$185,IFERROR((K42/(1-(1+$C$7/12)^-($C$4-J38)))-K42,0),0))))</f>
      </c>
      <c r="L43" s="137">
        <f>IF(L40&lt;0.001,0,IF(L38&lt;$C$11,0,IF($C$10=dropdowns!$B$186,$C$9,IF($C$10=dropdowns!$B$185,IFERROR((L42/(1-(1+$C$7/12)^-($C$4-K38)))-L42,0),0))))</f>
      </c>
      <c r="M43" s="137">
        <f>IF(M40&lt;0.001,0,IF(M38&lt;$C$11,0,IF($C$10=dropdowns!$B$186,$C$9,IF($C$10=dropdowns!$B$185,IFERROR((M42/(1-(1+$C$7/12)^-($C$4-L38)))-M42,0),0))))</f>
      </c>
      <c r="N43" s="137">
        <f>IF(N40&lt;0.001,0,IF(N38&lt;$C$11,0,IF($C$10=dropdowns!$B$186,$C$9,IF($C$10=dropdowns!$B$185,IFERROR((N42/(1-(1+$C$7/12)^-($C$4-M38)))-N42,0),0))))</f>
      </c>
      <c r="O43" s="138">
        <f>SUM(C43:N43)</f>
      </c>
    </row>
    <row r="44" spans="2:15" s="115" customFormat="1" ht="25.5">
      <c r="B44" s="143" t="str">
        <f>Vertaling!$B$303</f>
      </c>
      <c r="C44" s="141">
        <f t="shared" ref="C44:N44" si="15">SUM(C42:C43)</f>
      </c>
      <c r="D44" s="141">
        <f t="shared" si="15"/>
      </c>
      <c r="E44" s="141">
        <f t="shared" si="15"/>
      </c>
      <c r="F44" s="141">
        <f t="shared" si="15"/>
      </c>
      <c r="G44" s="141">
        <f t="shared" si="15"/>
      </c>
      <c r="H44" s="141">
        <f t="shared" si="15"/>
      </c>
      <c r="I44" s="141">
        <f t="shared" si="15"/>
      </c>
      <c r="J44" s="141">
        <f t="shared" si="15"/>
      </c>
      <c r="K44" s="141">
        <f t="shared" si="15"/>
      </c>
      <c r="L44" s="141">
        <f t="shared" si="15"/>
      </c>
      <c r="M44" s="141">
        <f t="shared" si="15"/>
      </c>
      <c r="N44" s="141">
        <f t="shared" si="15"/>
      </c>
      <c r="O44" s="142">
        <f>SUM(C44:N44)</f>
      </c>
    </row>
    <row r="45" spans="2:15" s="115" customFormat="1" ht="12.75"/>
    <row r="46" spans="2:15" s="115" customFormat="1" ht="12.75">
      <c r="B46" s="335" t="str">
        <f>Vertaling!$B$298&amp;N46/12</f>
      </c>
      <c r="C46" s="336">
        <f>N38+1</f>
      </c>
      <c r="D46" s="336">
        <f t="shared" ref="D46:N46" si="16">C46+1</f>
      </c>
      <c r="E46" s="336">
        <f t="shared" si="16"/>
      </c>
      <c r="F46" s="336">
        <f t="shared" si="16"/>
      </c>
      <c r="G46" s="336">
        <f t="shared" si="16"/>
      </c>
      <c r="H46" s="336">
        <f t="shared" si="16"/>
      </c>
      <c r="I46" s="336">
        <f t="shared" si="16"/>
      </c>
      <c r="J46" s="336">
        <f t="shared" si="16"/>
      </c>
      <c r="K46" s="336">
        <f t="shared" si="16"/>
      </c>
      <c r="L46" s="336">
        <f t="shared" si="16"/>
      </c>
      <c r="M46" s="336">
        <f t="shared" si="16"/>
      </c>
      <c r="N46" s="336">
        <f t="shared" si="16"/>
      </c>
      <c r="O46" s="336" t="s">
        <v>27</v>
      </c>
    </row>
    <row r="47" spans="2:15" s="115" customFormat="1" ht="12.75">
      <c r="B47" s="132"/>
      <c r="C47" s="133"/>
      <c r="D47" s="133"/>
      <c r="E47" s="133"/>
      <c r="F47" s="133"/>
      <c r="G47" s="133"/>
      <c r="H47" s="133"/>
      <c r="I47" s="133"/>
      <c r="J47" s="133"/>
      <c r="K47" s="133"/>
      <c r="L47" s="133"/>
      <c r="M47" s="133"/>
      <c r="N47" s="133"/>
      <c r="O47" s="133"/>
    </row>
    <row r="48" spans="2:15" s="115" customFormat="1" ht="12.75">
      <c r="B48" s="134" t="str">
        <f>Vertaling!$B$299</f>
      </c>
      <c r="C48" s="136">
        <f>N40-N43</f>
      </c>
      <c r="D48" s="137">
        <f t="shared" ref="D48:N48" si="17">C48-C51</f>
      </c>
      <c r="E48" s="137">
        <f t="shared" si="17"/>
      </c>
      <c r="F48" s="137">
        <f t="shared" si="17"/>
      </c>
      <c r="G48" s="137">
        <f t="shared" si="17"/>
      </c>
      <c r="H48" s="137">
        <f t="shared" si="17"/>
      </c>
      <c r="I48" s="137">
        <f t="shared" si="17"/>
      </c>
      <c r="J48" s="137">
        <f t="shared" si="17"/>
      </c>
      <c r="K48" s="137">
        <f t="shared" si="17"/>
      </c>
      <c r="L48" s="137">
        <f t="shared" si="17"/>
      </c>
      <c r="M48" s="137">
        <f t="shared" si="17"/>
      </c>
      <c r="N48" s="137">
        <f t="shared" si="17"/>
      </c>
      <c r="O48" s="138"/>
    </row>
    <row r="49" spans="2:15" s="115" customFormat="1" ht="12.75">
      <c r="B49" s="134"/>
      <c r="C49" s="134"/>
      <c r="D49" s="134"/>
      <c r="E49" s="134"/>
      <c r="F49" s="134"/>
      <c r="G49" s="134"/>
      <c r="H49" s="134"/>
      <c r="I49" s="134"/>
      <c r="J49" s="134"/>
      <c r="K49" s="134"/>
      <c r="L49" s="134"/>
      <c r="M49" s="134"/>
      <c r="N49" s="134"/>
      <c r="O49" s="134"/>
    </row>
    <row r="50" spans="2:15" s="115" customFormat="1" ht="12.75">
      <c r="B50" s="134" t="str">
        <f>Vertaling!$B$300</f>
      </c>
      <c r="C50" s="137">
        <f t="shared" ref="C50:N50" si="18">IF(C48&lt;0.001,0,$C$8*C48)</f>
      </c>
      <c r="D50" s="137">
        <f t="shared" si="18"/>
      </c>
      <c r="E50" s="137">
        <f t="shared" si="18"/>
      </c>
      <c r="F50" s="137">
        <f t="shared" si="18"/>
      </c>
      <c r="G50" s="137">
        <f t="shared" si="18"/>
      </c>
      <c r="H50" s="137">
        <f t="shared" si="18"/>
      </c>
      <c r="I50" s="137">
        <f t="shared" si="18"/>
      </c>
      <c r="J50" s="137">
        <f t="shared" si="18"/>
      </c>
      <c r="K50" s="137">
        <f t="shared" si="18"/>
      </c>
      <c r="L50" s="137">
        <f t="shared" si="18"/>
      </c>
      <c r="M50" s="137">
        <f t="shared" si="18"/>
      </c>
      <c r="N50" s="137">
        <f t="shared" si="18"/>
      </c>
      <c r="O50" s="138">
        <f>SUM(C50:N50)</f>
      </c>
    </row>
    <row r="51" spans="2:15" s="115" customFormat="1" ht="12.75">
      <c r="B51" s="134" t="str">
        <f>Vertaling!$B$301</f>
      </c>
      <c r="C51" s="137">
        <f>IF(C48&lt;0.001,0,IF(C46&lt;$C$11,0,IF($C$10=dropdowns!$B$186,$C$9,IF($C$10=dropdowns!$B$185,IFERROR((C50/(1-(1+$C$7/12)^-($C$4-N38)))-C50,0),0))))</f>
      </c>
      <c r="D51" s="137">
        <f>IF(D48&lt;0.001,0,IF(D46&lt;$C$11,0,IF($C$10=dropdowns!$B$186,$C$9,IF($C$10=dropdowns!$B$185,IFERROR((D50/(1-(1+$C$7/12)^-($C$4-C46)))-D50,0),0))))</f>
      </c>
      <c r="E51" s="137">
        <f>IF(E48&lt;0.001,0,IF(E46&lt;$C$11,0,IF($C$10=dropdowns!$B$186,$C$9,IF($C$10=dropdowns!$B$185,IFERROR((E50/(1-(1+$C$7/12)^-($C$4-D46)))-E50,0),0))))</f>
      </c>
      <c r="F51" s="137">
        <f>IF(F48&lt;0.001,0,IF(F46&lt;$C$11,0,IF($C$10=dropdowns!$B$186,$C$9,IF($C$10=dropdowns!$B$185,IFERROR((F50/(1-(1+$C$7/12)^-($C$4-E46)))-F50,0),0))))</f>
      </c>
      <c r="G51" s="137">
        <f>IF(G48&lt;0.001,0,IF(G46&lt;$C$11,0,IF($C$10=dropdowns!$B$186,$C$9,IF($C$10=dropdowns!$B$185,IFERROR((G50/(1-(1+$C$7/12)^-($C$4-F46)))-G50,0),0))))</f>
      </c>
      <c r="H51" s="137">
        <f>IF(H48&lt;0.001,0,IF(H46&lt;$C$11,0,IF($C$10=dropdowns!$B$186,$C$9,IF($C$10=dropdowns!$B$185,IFERROR((H50/(1-(1+$C$7/12)^-($C$4-G46)))-H50,0),0))))</f>
      </c>
      <c r="I51" s="137">
        <f>IF(I48&lt;0.001,0,IF(I46&lt;$C$11,0,IF($C$10=dropdowns!$B$186,$C$9,IF($C$10=dropdowns!$B$185,IFERROR((I50/(1-(1+$C$7/12)^-($C$4-H46)))-I50,0),0))))</f>
      </c>
      <c r="J51" s="137">
        <f>IF(J48&lt;0.001,0,IF(J46&lt;$C$11,0,IF($C$10=dropdowns!$B$186,$C$9,IF($C$10=dropdowns!$B$185,IFERROR((J50/(1-(1+$C$7/12)^-($C$4-I46)))-J50,0),0))))</f>
      </c>
      <c r="K51" s="137">
        <f>IF(K48&lt;0.001,0,IF(K46&lt;$C$11,0,IF($C$10=dropdowns!$B$186,$C$9,IF($C$10=dropdowns!$B$185,IFERROR((K50/(1-(1+$C$7/12)^-($C$4-J46)))-K50,0),0))))</f>
      </c>
      <c r="L51" s="137">
        <f>IF(L48&lt;0.001,0,IF(L46&lt;$C$11,0,IF($C$10=dropdowns!$B$186,$C$9,IF($C$10=dropdowns!$B$185,IFERROR((L50/(1-(1+$C$7/12)^-($C$4-K46)))-L50,0),0))))</f>
      </c>
      <c r="M51" s="137">
        <f>IF(M48&lt;0.001,0,IF(M46&lt;$C$11,0,IF($C$10=dropdowns!$B$186,$C$9,IF($C$10=dropdowns!$B$185,IFERROR((M50/(1-(1+$C$7/12)^-($C$4-L46)))-M50,0),0))))</f>
      </c>
      <c r="N51" s="137">
        <f>IF(N48&lt;0.001,0,IF(N46&lt;$C$11,0,IF($C$10=dropdowns!$B$186,$C$9,IF($C$10=dropdowns!$B$185,IFERROR((N50/(1-(1+$C$7/12)^-($C$4-M46)))-N50,0),0))))</f>
      </c>
      <c r="O51" s="138">
        <f>SUM(C51:N51)</f>
      </c>
    </row>
    <row r="52" spans="2:15" s="115" customFormat="1" ht="25.5">
      <c r="B52" s="143" t="str">
        <f>Vertaling!$B$303</f>
      </c>
      <c r="C52" s="141">
        <f t="shared" ref="C52:N52" si="19">SUM(C50:C51)</f>
      </c>
      <c r="D52" s="141">
        <f t="shared" si="19"/>
      </c>
      <c r="E52" s="141">
        <f t="shared" si="19"/>
      </c>
      <c r="F52" s="141">
        <f t="shared" si="19"/>
      </c>
      <c r="G52" s="141">
        <f t="shared" si="19"/>
      </c>
      <c r="H52" s="141">
        <f t="shared" si="19"/>
      </c>
      <c r="I52" s="141">
        <f t="shared" si="19"/>
      </c>
      <c r="J52" s="141">
        <f t="shared" si="19"/>
      </c>
      <c r="K52" s="141">
        <f t="shared" si="19"/>
      </c>
      <c r="L52" s="141">
        <f t="shared" si="19"/>
      </c>
      <c r="M52" s="141">
        <f t="shared" si="19"/>
      </c>
      <c r="N52" s="141">
        <f t="shared" si="19"/>
      </c>
      <c r="O52" s="142">
        <f>SUM(C52:N52)</f>
      </c>
    </row>
    <row r="53" spans="2:15" s="115" customFormat="1" ht="12.75"/>
    <row r="54" spans="2:15" s="115" customFormat="1" ht="12.75">
      <c r="B54" s="335" t="str">
        <f>Vertaling!$B$298&amp;N54/12</f>
      </c>
      <c r="C54" s="336">
        <f>N46+1</f>
      </c>
      <c r="D54" s="336">
        <f t="shared" ref="D54:N54" si="20">C54+1</f>
      </c>
      <c r="E54" s="336">
        <f t="shared" si="20"/>
      </c>
      <c r="F54" s="336">
        <f t="shared" si="20"/>
      </c>
      <c r="G54" s="336">
        <f t="shared" si="20"/>
      </c>
      <c r="H54" s="336">
        <f t="shared" si="20"/>
      </c>
      <c r="I54" s="336">
        <f t="shared" si="20"/>
      </c>
      <c r="J54" s="336">
        <f t="shared" si="20"/>
      </c>
      <c r="K54" s="336">
        <f t="shared" si="20"/>
      </c>
      <c r="L54" s="336">
        <f t="shared" si="20"/>
      </c>
      <c r="M54" s="336">
        <f t="shared" si="20"/>
      </c>
      <c r="N54" s="336">
        <f t="shared" si="20"/>
      </c>
      <c r="O54" s="336" t="s">
        <v>27</v>
      </c>
    </row>
    <row r="55" spans="2:15" s="115" customFormat="1" ht="12.75">
      <c r="B55" s="132"/>
      <c r="C55" s="133"/>
      <c r="D55" s="133"/>
      <c r="E55" s="133"/>
      <c r="F55" s="133"/>
      <c r="G55" s="133"/>
      <c r="H55" s="133"/>
      <c r="I55" s="133"/>
      <c r="J55" s="133"/>
      <c r="K55" s="133"/>
      <c r="L55" s="133"/>
      <c r="M55" s="133"/>
      <c r="N55" s="133"/>
      <c r="O55" s="133"/>
    </row>
    <row r="56" spans="2:15" s="115" customFormat="1" ht="12.75">
      <c r="B56" s="134" t="str">
        <f>Vertaling!$B$299</f>
      </c>
      <c r="C56" s="136">
        <f>N48-N51</f>
      </c>
      <c r="D56" s="137">
        <f t="shared" ref="D56:N56" si="21">C56-C59</f>
      </c>
      <c r="E56" s="137">
        <f t="shared" si="21"/>
      </c>
      <c r="F56" s="137">
        <f t="shared" si="21"/>
      </c>
      <c r="G56" s="137">
        <f t="shared" si="21"/>
      </c>
      <c r="H56" s="137">
        <f t="shared" si="21"/>
      </c>
      <c r="I56" s="137">
        <f t="shared" si="21"/>
      </c>
      <c r="J56" s="137">
        <f t="shared" si="21"/>
      </c>
      <c r="K56" s="137">
        <f t="shared" si="21"/>
      </c>
      <c r="L56" s="137">
        <f t="shared" si="21"/>
      </c>
      <c r="M56" s="137">
        <f t="shared" si="21"/>
      </c>
      <c r="N56" s="137">
        <f t="shared" si="21"/>
      </c>
      <c r="O56" s="138"/>
    </row>
    <row r="57" spans="2:15" s="115" customFormat="1" ht="12.75">
      <c r="B57" s="134"/>
      <c r="C57" s="134"/>
      <c r="D57" s="134"/>
      <c r="E57" s="134"/>
      <c r="F57" s="134"/>
      <c r="G57" s="134"/>
      <c r="H57" s="134"/>
      <c r="I57" s="134"/>
      <c r="J57" s="134"/>
      <c r="K57" s="134"/>
      <c r="L57" s="134"/>
      <c r="M57" s="134"/>
      <c r="N57" s="134"/>
      <c r="O57" s="134"/>
    </row>
    <row r="58" spans="2:15" s="115" customFormat="1" ht="12.75">
      <c r="B58" s="134" t="str">
        <f>Vertaling!$B$300</f>
      </c>
      <c r="C58" s="137">
        <f t="shared" ref="C58:N58" si="22">IF(C56&lt;0.001,0,$C$8*C56)</f>
      </c>
      <c r="D58" s="137">
        <f t="shared" si="22"/>
      </c>
      <c r="E58" s="137">
        <f t="shared" si="22"/>
      </c>
      <c r="F58" s="137">
        <f t="shared" si="22"/>
      </c>
      <c r="G58" s="137">
        <f t="shared" si="22"/>
      </c>
      <c r="H58" s="137">
        <f t="shared" si="22"/>
      </c>
      <c r="I58" s="137">
        <f t="shared" si="22"/>
      </c>
      <c r="J58" s="137">
        <f t="shared" si="22"/>
      </c>
      <c r="K58" s="137">
        <f t="shared" si="22"/>
      </c>
      <c r="L58" s="137">
        <f t="shared" si="22"/>
      </c>
      <c r="M58" s="137">
        <f t="shared" si="22"/>
      </c>
      <c r="N58" s="137">
        <f t="shared" si="22"/>
      </c>
      <c r="O58" s="138">
        <f>SUM(C58:N58)</f>
      </c>
    </row>
    <row r="59" spans="2:15" s="115" customFormat="1" ht="12.75">
      <c r="B59" s="134" t="str">
        <f>Vertaling!$B$301</f>
      </c>
      <c r="C59" s="137">
        <f>IF(C56&lt;0.001,0,IF(C54&lt;$C$11,0,IF($C$10=dropdowns!$B$186,$C$9,IF($C$10=dropdowns!$B$185,IFERROR((C58/(1-(1+$C$7/12)^-($C$4-N46)))-C58,0),0))))</f>
      </c>
      <c r="D59" s="137">
        <f>IF(D56&lt;0.001,0,IF(D54&lt;$C$11,0,IF($C$10=dropdowns!$B$186,$C$9,IF($C$10=dropdowns!$B$185,IFERROR((D58/(1-(1+$C$7/12)^-($C$4-C54)))-D58,0),0))))</f>
      </c>
      <c r="E59" s="137">
        <f>IF(E56&lt;0.001,0,IF(E54&lt;$C$11,0,IF($C$10=dropdowns!$B$186,$C$9,IF($C$10=dropdowns!$B$185,IFERROR((E58/(1-(1+$C$7/12)^-($C$4-D54)))-E58,0),0))))</f>
      </c>
      <c r="F59" s="137">
        <f>IF(F56&lt;0.001,0,IF(F54&lt;$C$11,0,IF($C$10=dropdowns!$B$186,$C$9,IF($C$10=dropdowns!$B$185,IFERROR((F58/(1-(1+$C$7/12)^-($C$4-E54)))-F58,0),0))))</f>
      </c>
      <c r="G59" s="137">
        <f>IF(G56&lt;0.001,0,IF(G54&lt;$C$11,0,IF($C$10=dropdowns!$B$186,$C$9,IF($C$10=dropdowns!$B$185,IFERROR((G58/(1-(1+$C$7/12)^-($C$4-F54)))-G58,0),0))))</f>
      </c>
      <c r="H59" s="137">
        <f>IF(H56&lt;0.001,0,IF(H54&lt;$C$11,0,IF($C$10=dropdowns!$B$186,$C$9,IF($C$10=dropdowns!$B$185,IFERROR((H58/(1-(1+$C$7/12)^-($C$4-G54)))-H58,0),0))))</f>
      </c>
      <c r="I59" s="137">
        <f>IF(I56&lt;0.001,0,IF(I54&lt;$C$11,0,IF($C$10=dropdowns!$B$186,$C$9,IF($C$10=dropdowns!$B$185,IFERROR((I58/(1-(1+$C$7/12)^-($C$4-H54)))-I58,0),0))))</f>
      </c>
      <c r="J59" s="137">
        <f>IF(J56&lt;0.001,0,IF(J54&lt;$C$11,0,IF($C$10=dropdowns!$B$186,$C$9,IF($C$10=dropdowns!$B$185,IFERROR((J58/(1-(1+$C$7/12)^-($C$4-I54)))-J58,0),0))))</f>
      </c>
      <c r="K59" s="137">
        <f>IF(K56&lt;0.001,0,IF(K54&lt;$C$11,0,IF($C$10=dropdowns!$B$186,$C$9,IF($C$10=dropdowns!$B$185,IFERROR((K58/(1-(1+$C$7/12)^-($C$4-J54)))-K58,0),0))))</f>
      </c>
      <c r="L59" s="137">
        <f>IF(L56&lt;0.001,0,IF(L54&lt;$C$11,0,IF($C$10=dropdowns!$B$186,$C$9,IF($C$10=dropdowns!$B$185,IFERROR((L58/(1-(1+$C$7/12)^-($C$4-K54)))-L58,0),0))))</f>
      </c>
      <c r="M59" s="137">
        <f>IF(M56&lt;0.001,0,IF(M54&lt;$C$11,0,IF($C$10=dropdowns!$B$186,$C$9,IF($C$10=dropdowns!$B$185,IFERROR((M58/(1-(1+$C$7/12)^-($C$4-L54)))-M58,0),0))))</f>
      </c>
      <c r="N59" s="137">
        <f>IF(N56&lt;0.001,0,IF(N54&lt;$C$11,0,IF($C$10=dropdowns!$B$186,$C$9,IF($C$10=dropdowns!$B$185,IFERROR((N58/(1-(1+$C$7/12)^-($C$4-M54)))-N58,0),0))))</f>
      </c>
      <c r="O59" s="138">
        <f>SUM(C59:N59)</f>
      </c>
    </row>
    <row r="60" spans="2:15" s="115" customFormat="1" ht="25.5">
      <c r="B60" s="143" t="str">
        <f>Vertaling!$B$303</f>
      </c>
      <c r="C60" s="141">
        <f t="shared" ref="C60:N60" si="23">SUM(C58:C59)</f>
      </c>
      <c r="D60" s="141">
        <f t="shared" si="23"/>
      </c>
      <c r="E60" s="141">
        <f t="shared" si="23"/>
      </c>
      <c r="F60" s="141">
        <f t="shared" si="23"/>
      </c>
      <c r="G60" s="141">
        <f t="shared" si="23"/>
      </c>
      <c r="H60" s="141">
        <f t="shared" si="23"/>
      </c>
      <c r="I60" s="141">
        <f t="shared" si="23"/>
      </c>
      <c r="J60" s="141">
        <f t="shared" si="23"/>
      </c>
      <c r="K60" s="141">
        <f t="shared" si="23"/>
      </c>
      <c r="L60" s="141">
        <f t="shared" si="23"/>
      </c>
      <c r="M60" s="141">
        <f t="shared" si="23"/>
      </c>
      <c r="N60" s="141">
        <f t="shared" si="23"/>
      </c>
      <c r="O60" s="142">
        <f>SUM(C60:N60)</f>
      </c>
    </row>
    <row r="61" spans="2:15" s="115" customFormat="1" ht="12.75"/>
    <row r="62" spans="2:15" s="115" customFormat="1" ht="12.75">
      <c r="B62" s="335" t="str">
        <f>Vertaling!$B$298&amp;N62/12</f>
      </c>
      <c r="C62" s="336">
        <f>N54+1</f>
      </c>
      <c r="D62" s="336">
        <f t="shared" ref="D62:N62" si="24">C62+1</f>
      </c>
      <c r="E62" s="336">
        <f t="shared" si="24"/>
      </c>
      <c r="F62" s="336">
        <f t="shared" si="24"/>
      </c>
      <c r="G62" s="336">
        <f t="shared" si="24"/>
      </c>
      <c r="H62" s="336">
        <f t="shared" si="24"/>
      </c>
      <c r="I62" s="336">
        <f t="shared" si="24"/>
      </c>
      <c r="J62" s="336">
        <f t="shared" si="24"/>
      </c>
      <c r="K62" s="336">
        <f t="shared" si="24"/>
      </c>
      <c r="L62" s="336">
        <f t="shared" si="24"/>
      </c>
      <c r="M62" s="336">
        <f t="shared" si="24"/>
      </c>
      <c r="N62" s="336">
        <f t="shared" si="24"/>
      </c>
      <c r="O62" s="336" t="s">
        <v>27</v>
      </c>
    </row>
    <row r="63" spans="2:15" s="115" customFormat="1" ht="12.75">
      <c r="B63" s="132"/>
      <c r="C63" s="133"/>
      <c r="D63" s="133"/>
      <c r="E63" s="133"/>
      <c r="F63" s="133"/>
      <c r="G63" s="133"/>
      <c r="H63" s="133"/>
      <c r="I63" s="133"/>
      <c r="J63" s="133"/>
      <c r="K63" s="133"/>
      <c r="L63" s="133"/>
      <c r="M63" s="133"/>
      <c r="N63" s="133"/>
      <c r="O63" s="133"/>
    </row>
    <row r="64" spans="2:15" s="115" customFormat="1" ht="12.75">
      <c r="B64" s="134" t="str">
        <f>Vertaling!$B$299</f>
      </c>
      <c r="C64" s="136">
        <f>N56-N59</f>
      </c>
      <c r="D64" s="137">
        <f t="shared" ref="D64:N64" si="25">C64-C67</f>
      </c>
      <c r="E64" s="137">
        <f t="shared" si="25"/>
      </c>
      <c r="F64" s="137">
        <f t="shared" si="25"/>
      </c>
      <c r="G64" s="137">
        <f t="shared" si="25"/>
      </c>
      <c r="H64" s="137">
        <f t="shared" si="25"/>
      </c>
      <c r="I64" s="137">
        <f t="shared" si="25"/>
      </c>
      <c r="J64" s="137">
        <f t="shared" si="25"/>
      </c>
      <c r="K64" s="137">
        <f t="shared" si="25"/>
      </c>
      <c r="L64" s="137">
        <f t="shared" si="25"/>
      </c>
      <c r="M64" s="137">
        <f t="shared" si="25"/>
      </c>
      <c r="N64" s="137">
        <f t="shared" si="25"/>
      </c>
      <c r="O64" s="138"/>
    </row>
    <row r="65" spans="2:15" s="115" customFormat="1" ht="12.75">
      <c r="B65" s="134"/>
      <c r="C65" s="134"/>
      <c r="D65" s="134"/>
      <c r="E65" s="134"/>
      <c r="F65" s="134"/>
      <c r="G65" s="134"/>
      <c r="H65" s="134"/>
      <c r="I65" s="134"/>
      <c r="J65" s="134"/>
      <c r="K65" s="134"/>
      <c r="L65" s="134"/>
      <c r="M65" s="134"/>
      <c r="N65" s="134"/>
      <c r="O65" s="134"/>
    </row>
    <row r="66" spans="2:15" s="115" customFormat="1" ht="12.75">
      <c r="B66" s="134" t="str">
        <f>Vertaling!$B$300</f>
      </c>
      <c r="C66" s="137">
        <f t="shared" ref="C66:N66" si="26">IF(C64&lt;0.001,0,$C$8*C64)</f>
      </c>
      <c r="D66" s="137">
        <f t="shared" si="26"/>
      </c>
      <c r="E66" s="137">
        <f t="shared" si="26"/>
      </c>
      <c r="F66" s="137">
        <f t="shared" si="26"/>
      </c>
      <c r="G66" s="137">
        <f t="shared" si="26"/>
      </c>
      <c r="H66" s="137">
        <f t="shared" si="26"/>
      </c>
      <c r="I66" s="137">
        <f t="shared" si="26"/>
      </c>
      <c r="J66" s="137">
        <f t="shared" si="26"/>
      </c>
      <c r="K66" s="137">
        <f t="shared" si="26"/>
      </c>
      <c r="L66" s="137">
        <f t="shared" si="26"/>
      </c>
      <c r="M66" s="137">
        <f t="shared" si="26"/>
      </c>
      <c r="N66" s="137">
        <f t="shared" si="26"/>
      </c>
      <c r="O66" s="138">
        <f>SUM(C66:N66)</f>
      </c>
    </row>
    <row r="67" spans="2:15" s="115" customFormat="1" ht="12.75">
      <c r="B67" s="134" t="str">
        <f>Vertaling!$B$301</f>
      </c>
      <c r="C67" s="137">
        <f>IF(C64&lt;0.001,0,IF(C62&lt;$C$11,0,IF($C$10=dropdowns!$B$186,$C$9,IF($C$10=dropdowns!$B$185,IFERROR((C66/(1-(1+$C$7/12)^-($C$4-N54)))-C66,0),0))))</f>
      </c>
      <c r="D67" s="137">
        <f>IF(D64&lt;0.001,0,IF(D62&lt;$C$11,0,IF($C$10=dropdowns!$B$186,$C$9,IF($C$10=dropdowns!$B$185,IFERROR((D66/(1-(1+$C$7/12)^-($C$4-C62)))-D66,0),0))))</f>
      </c>
      <c r="E67" s="137">
        <f>IF(E64&lt;0.001,0,IF(E62&lt;$C$11,0,IF($C$10=dropdowns!$B$186,$C$9,IF($C$10=dropdowns!$B$185,IFERROR((E66/(1-(1+$C$7/12)^-($C$4-D62)))-E66,0),0))))</f>
      </c>
      <c r="F67" s="137">
        <f>IF(F64&lt;0.001,0,IF(F62&lt;$C$11,0,IF($C$10=dropdowns!$B$186,$C$9,IF($C$10=dropdowns!$B$185,IFERROR((F66/(1-(1+$C$7/12)^-($C$4-E62)))-F66,0),0))))</f>
      </c>
      <c r="G67" s="137">
        <f>IF(G64&lt;0.001,0,IF(G62&lt;$C$11,0,IF($C$10=dropdowns!$B$186,$C$9,IF($C$10=dropdowns!$B$185,IFERROR((G66/(1-(1+$C$7/12)^-($C$4-F62)))-G66,0),0))))</f>
      </c>
      <c r="H67" s="137">
        <f>IF(H64&lt;0.001,0,IF(H62&lt;$C$11,0,IF($C$10=dropdowns!$B$186,$C$9,IF($C$10=dropdowns!$B$185,IFERROR((H66/(1-(1+$C$7/12)^-($C$4-G62)))-H66,0),0))))</f>
      </c>
      <c r="I67" s="137">
        <f>IF(I64&lt;0.001,0,IF(I62&lt;$C$11,0,IF($C$10=dropdowns!$B$186,$C$9,IF($C$10=dropdowns!$B$185,IFERROR((I66/(1-(1+$C$7/12)^-($C$4-H62)))-I66,0),0))))</f>
      </c>
      <c r="J67" s="137">
        <f>IF(J64&lt;0.001,0,IF(J62&lt;$C$11,0,IF($C$10=dropdowns!$B$186,$C$9,IF($C$10=dropdowns!$B$185,IFERROR((J66/(1-(1+$C$7/12)^-($C$4-I62)))-J66,0),0))))</f>
      </c>
      <c r="K67" s="137">
        <f>IF(K64&lt;0.001,0,IF(K62&lt;$C$11,0,IF($C$10=dropdowns!$B$186,$C$9,IF($C$10=dropdowns!$B$185,IFERROR((K66/(1-(1+$C$7/12)^-($C$4-J62)))-K66,0),0))))</f>
      </c>
      <c r="L67" s="137">
        <f>IF(L64&lt;0.001,0,IF(L62&lt;$C$11,0,IF($C$10=dropdowns!$B$186,$C$9,IF($C$10=dropdowns!$B$185,IFERROR((L66/(1-(1+$C$7/12)^-($C$4-K62)))-L66,0),0))))</f>
      </c>
      <c r="M67" s="137">
        <f>IF(M64&lt;0.001,0,IF(M62&lt;$C$11,0,IF($C$10=dropdowns!$B$186,$C$9,IF($C$10=dropdowns!$B$185,IFERROR((M66/(1-(1+$C$7/12)^-($C$4-L62)))-M66,0),0))))</f>
      </c>
      <c r="N67" s="137">
        <f>IF(N64&lt;0.001,0,IF(N62&lt;$C$11,0,IF($C$10=dropdowns!$B$186,$C$9,IF($C$10=dropdowns!$B$185,IFERROR((N66/(1-(1+$C$7/12)^-($C$4-M62)))-N66,0),0))))</f>
      </c>
      <c r="O67" s="138">
        <f>SUM(C67:N67)</f>
      </c>
    </row>
    <row r="68" spans="2:15" s="115" customFormat="1" ht="25.5">
      <c r="B68" s="143" t="str">
        <f>Vertaling!$B$303</f>
      </c>
      <c r="C68" s="141">
        <f t="shared" ref="C68:N68" si="27">SUM(C66:C67)</f>
      </c>
      <c r="D68" s="141">
        <f t="shared" si="27"/>
      </c>
      <c r="E68" s="141">
        <f t="shared" si="27"/>
      </c>
      <c r="F68" s="141">
        <f t="shared" si="27"/>
      </c>
      <c r="G68" s="141">
        <f t="shared" si="27"/>
      </c>
      <c r="H68" s="141">
        <f t="shared" si="27"/>
      </c>
      <c r="I68" s="141">
        <f t="shared" si="27"/>
      </c>
      <c r="J68" s="141">
        <f t="shared" si="27"/>
      </c>
      <c r="K68" s="141">
        <f t="shared" si="27"/>
      </c>
      <c r="L68" s="141">
        <f t="shared" si="27"/>
      </c>
      <c r="M68" s="141">
        <f t="shared" si="27"/>
      </c>
      <c r="N68" s="141">
        <f t="shared" si="27"/>
      </c>
      <c r="O68" s="142">
        <f>SUM(C68:N68)</f>
      </c>
    </row>
    <row r="69" spans="2:15" s="115" customFormat="1" ht="12.75"/>
    <row r="70" spans="2:15" s="115" customFormat="1" ht="12.75">
      <c r="B70" s="335" t="str">
        <f>Vertaling!$B$298&amp;N70/12</f>
      </c>
      <c r="C70" s="336">
        <f>N62+1</f>
      </c>
      <c r="D70" s="336">
        <f t="shared" ref="D70:N70" si="28">C70+1</f>
      </c>
      <c r="E70" s="336">
        <f t="shared" si="28"/>
      </c>
      <c r="F70" s="336">
        <f t="shared" si="28"/>
      </c>
      <c r="G70" s="336">
        <f t="shared" si="28"/>
      </c>
      <c r="H70" s="336">
        <f t="shared" si="28"/>
      </c>
      <c r="I70" s="336">
        <f t="shared" si="28"/>
      </c>
      <c r="J70" s="336">
        <f t="shared" si="28"/>
      </c>
      <c r="K70" s="336">
        <f t="shared" si="28"/>
      </c>
      <c r="L70" s="336">
        <f t="shared" si="28"/>
      </c>
      <c r="M70" s="336">
        <f t="shared" si="28"/>
      </c>
      <c r="N70" s="336">
        <f t="shared" si="28"/>
      </c>
      <c r="O70" s="336" t="s">
        <v>27</v>
      </c>
    </row>
    <row r="71" spans="2:15" s="115" customFormat="1" ht="12.75">
      <c r="B71" s="132"/>
      <c r="C71" s="133"/>
      <c r="D71" s="133"/>
      <c r="E71" s="133"/>
      <c r="F71" s="133"/>
      <c r="G71" s="133"/>
      <c r="H71" s="133"/>
      <c r="I71" s="133"/>
      <c r="J71" s="133"/>
      <c r="K71" s="133"/>
      <c r="L71" s="133"/>
      <c r="M71" s="133"/>
      <c r="N71" s="133"/>
      <c r="O71" s="133"/>
    </row>
    <row r="72" spans="2:15" s="115" customFormat="1" ht="12.75">
      <c r="B72" s="134" t="str">
        <f>Vertaling!$B$299</f>
      </c>
      <c r="C72" s="136">
        <f>N64-N67</f>
      </c>
      <c r="D72" s="137">
        <f t="shared" ref="D72:N72" si="29">C72-C75</f>
      </c>
      <c r="E72" s="137">
        <f t="shared" si="29"/>
      </c>
      <c r="F72" s="137">
        <f t="shared" si="29"/>
      </c>
      <c r="G72" s="137">
        <f t="shared" si="29"/>
      </c>
      <c r="H72" s="137">
        <f t="shared" si="29"/>
      </c>
      <c r="I72" s="137">
        <f t="shared" si="29"/>
      </c>
      <c r="J72" s="137">
        <f t="shared" si="29"/>
      </c>
      <c r="K72" s="137">
        <f t="shared" si="29"/>
      </c>
      <c r="L72" s="137">
        <f t="shared" si="29"/>
      </c>
      <c r="M72" s="137">
        <f t="shared" si="29"/>
      </c>
      <c r="N72" s="137">
        <f t="shared" si="29"/>
      </c>
      <c r="O72" s="138"/>
    </row>
    <row r="73" spans="2:15" s="115" customFormat="1" ht="12.75">
      <c r="B73" s="134"/>
      <c r="C73" s="134"/>
      <c r="D73" s="134"/>
      <c r="E73" s="134"/>
      <c r="F73" s="134"/>
      <c r="G73" s="134"/>
      <c r="H73" s="134"/>
      <c r="I73" s="134"/>
      <c r="J73" s="134"/>
      <c r="K73" s="134"/>
      <c r="L73" s="134"/>
      <c r="M73" s="134"/>
      <c r="N73" s="134"/>
      <c r="O73" s="134"/>
    </row>
    <row r="74" spans="2:15" s="115" customFormat="1" ht="12.75">
      <c r="B74" s="134" t="str">
        <f>Vertaling!$B$300</f>
      </c>
      <c r="C74" s="137">
        <f t="shared" ref="C74:N74" si="30">IF(C72&lt;0.001,0,$C$8*C72)</f>
      </c>
      <c r="D74" s="137">
        <f t="shared" si="30"/>
      </c>
      <c r="E74" s="137">
        <f t="shared" si="30"/>
      </c>
      <c r="F74" s="137">
        <f t="shared" si="30"/>
      </c>
      <c r="G74" s="137">
        <f t="shared" si="30"/>
      </c>
      <c r="H74" s="137">
        <f t="shared" si="30"/>
      </c>
      <c r="I74" s="137">
        <f t="shared" si="30"/>
      </c>
      <c r="J74" s="137">
        <f t="shared" si="30"/>
      </c>
      <c r="K74" s="137">
        <f t="shared" si="30"/>
      </c>
      <c r="L74" s="137">
        <f t="shared" si="30"/>
      </c>
      <c r="M74" s="137">
        <f t="shared" si="30"/>
      </c>
      <c r="N74" s="137">
        <f t="shared" si="30"/>
      </c>
      <c r="O74" s="138">
        <f>SUM(C74:N74)</f>
      </c>
    </row>
    <row r="75" spans="2:15" s="115" customFormat="1" ht="12.75">
      <c r="B75" s="134" t="str">
        <f>Vertaling!$B$301</f>
      </c>
      <c r="C75" s="137">
        <f>IF(C72&lt;0.001,0,IF(C70&lt;$C$11,0,IF($C$10=dropdowns!$B$186,$C$9,IF($C$10=dropdowns!$B$185,IFERROR((C74/(1-(1+$C$7/12)^-($C$4-N62)))-C74,0),0))))</f>
      </c>
      <c r="D75" s="137">
        <f>IF(D72&lt;0.001,0,IF(D70&lt;$C$11,0,IF($C$10=dropdowns!$B$186,$C$9,IF($C$10=dropdowns!$B$185,IFERROR((D74/(1-(1+$C$7/12)^-($C$4-C70)))-D74,0),0))))</f>
      </c>
      <c r="E75" s="137">
        <f>IF(E72&lt;0.001,0,IF(E70&lt;$C$11,0,IF($C$10=dropdowns!$B$186,$C$9,IF($C$10=dropdowns!$B$185,IFERROR((E74/(1-(1+$C$7/12)^-($C$4-D70)))-E74,0),0))))</f>
      </c>
      <c r="F75" s="137">
        <f>IF(F72&lt;0.001,0,IF(F70&lt;$C$11,0,IF($C$10=dropdowns!$B$186,$C$9,IF($C$10=dropdowns!$B$185,IFERROR((F74/(1-(1+$C$7/12)^-($C$4-E70)))-F74,0),0))))</f>
      </c>
      <c r="G75" s="137">
        <f>IF(G72&lt;0.001,0,IF(G70&lt;$C$11,0,IF($C$10=dropdowns!$B$186,$C$9,IF($C$10=dropdowns!$B$185,IFERROR((G74/(1-(1+$C$7/12)^-($C$4-F70)))-G74,0),0))))</f>
      </c>
      <c r="H75" s="137">
        <f>IF(H72&lt;0.001,0,IF(H70&lt;$C$11,0,IF($C$10=dropdowns!$B$186,$C$9,IF($C$10=dropdowns!$B$185,IFERROR((H74/(1-(1+$C$7/12)^-($C$4-G70)))-H74,0),0))))</f>
      </c>
      <c r="I75" s="137">
        <f>IF(I72&lt;0.001,0,IF(I70&lt;$C$11,0,IF($C$10=dropdowns!$B$186,$C$9,IF($C$10=dropdowns!$B$185,IFERROR((I74/(1-(1+$C$7/12)^-($C$4-H70)))-I74,0),0))))</f>
      </c>
      <c r="J75" s="137">
        <f>IF(J72&lt;0.001,0,IF(J70&lt;$C$11,0,IF($C$10=dropdowns!$B$186,$C$9,IF($C$10=dropdowns!$B$185,IFERROR((J74/(1-(1+$C$7/12)^-($C$4-I70)))-J74,0),0))))</f>
      </c>
      <c r="K75" s="137">
        <f>IF(K72&lt;0.001,0,IF(K70&lt;$C$11,0,IF($C$10=dropdowns!$B$186,$C$9,IF($C$10=dropdowns!$B$185,IFERROR((K74/(1-(1+$C$7/12)^-($C$4-J70)))-K74,0),0))))</f>
      </c>
      <c r="L75" s="137">
        <f>IF(L72&lt;0.001,0,IF(L70&lt;$C$11,0,IF($C$10=dropdowns!$B$186,$C$9,IF($C$10=dropdowns!$B$185,IFERROR((L74/(1-(1+$C$7/12)^-($C$4-K70)))-L74,0),0))))</f>
      </c>
      <c r="M75" s="137">
        <f>IF(M72&lt;0.001,0,IF(M70&lt;$C$11,0,IF($C$10=dropdowns!$B$186,$C$9,IF($C$10=dropdowns!$B$185,IFERROR((M74/(1-(1+$C$7/12)^-($C$4-L70)))-M74,0),0))))</f>
      </c>
      <c r="N75" s="137">
        <f>IF(N72&lt;0.001,0,IF(N70&lt;$C$11,0,IF($C$10=dropdowns!$B$186,$C$9,IF($C$10=dropdowns!$B$185,IFERROR((N74/(1-(1+$C$7/12)^-($C$4-M70)))-N74,0),0))))</f>
      </c>
      <c r="O75" s="138">
        <f>SUM(C75:N75)</f>
      </c>
    </row>
    <row r="76" spans="2:15" s="115" customFormat="1" ht="25.5">
      <c r="B76" s="143" t="str">
        <f>Vertaling!$B$303</f>
      </c>
      <c r="C76" s="141">
        <f t="shared" ref="C76:N76" si="31">SUM(C74:C75)</f>
      </c>
      <c r="D76" s="141">
        <f t="shared" si="31"/>
      </c>
      <c r="E76" s="141">
        <f t="shared" si="31"/>
      </c>
      <c r="F76" s="141">
        <f t="shared" si="31"/>
      </c>
      <c r="G76" s="141">
        <f t="shared" si="31"/>
      </c>
      <c r="H76" s="141">
        <f t="shared" si="31"/>
      </c>
      <c r="I76" s="141">
        <f t="shared" si="31"/>
      </c>
      <c r="J76" s="141">
        <f t="shared" si="31"/>
      </c>
      <c r="K76" s="141">
        <f t="shared" si="31"/>
      </c>
      <c r="L76" s="141">
        <f t="shared" si="31"/>
      </c>
      <c r="M76" s="141">
        <f t="shared" si="31"/>
      </c>
      <c r="N76" s="141">
        <f t="shared" si="31"/>
      </c>
      <c r="O76" s="142">
        <f>SUM(C76:N76)</f>
      </c>
    </row>
    <row r="77" spans="2:15" s="115" customFormat="1" ht="12.75"/>
    <row r="78" spans="2:15" s="115" customFormat="1" ht="12.75">
      <c r="B78" s="335" t="str">
        <f>Vertaling!$B$298&amp;N78/12</f>
      </c>
      <c r="C78" s="336">
        <f>N70+1</f>
      </c>
      <c r="D78" s="336">
        <f t="shared" ref="D78:N78" si="32">C78+1</f>
      </c>
      <c r="E78" s="336">
        <f t="shared" si="32"/>
      </c>
      <c r="F78" s="336">
        <f t="shared" si="32"/>
      </c>
      <c r="G78" s="336">
        <f t="shared" si="32"/>
      </c>
      <c r="H78" s="336">
        <f t="shared" si="32"/>
      </c>
      <c r="I78" s="336">
        <f t="shared" si="32"/>
      </c>
      <c r="J78" s="336">
        <f t="shared" si="32"/>
      </c>
      <c r="K78" s="336">
        <f t="shared" si="32"/>
      </c>
      <c r="L78" s="336">
        <f t="shared" si="32"/>
      </c>
      <c r="M78" s="336">
        <f t="shared" si="32"/>
      </c>
      <c r="N78" s="336">
        <f t="shared" si="32"/>
      </c>
      <c r="O78" s="336" t="s">
        <v>27</v>
      </c>
    </row>
    <row r="79" spans="2:15" s="115" customFormat="1" ht="12.75">
      <c r="B79" s="132"/>
      <c r="C79" s="133"/>
      <c r="D79" s="133"/>
      <c r="E79" s="133"/>
      <c r="F79" s="133"/>
      <c r="G79" s="133"/>
      <c r="H79" s="133"/>
      <c r="I79" s="133"/>
      <c r="J79" s="133"/>
      <c r="K79" s="133"/>
      <c r="L79" s="133"/>
      <c r="M79" s="133"/>
      <c r="N79" s="133"/>
      <c r="O79" s="133"/>
    </row>
    <row r="80" spans="2:15" s="115" customFormat="1" ht="12.75">
      <c r="B80" s="134" t="str">
        <f>Vertaling!$B$299</f>
      </c>
      <c r="C80" s="136">
        <f>N72-N75</f>
      </c>
      <c r="D80" s="137">
        <f t="shared" ref="D80:N80" si="33">C80-C83</f>
      </c>
      <c r="E80" s="137">
        <f t="shared" si="33"/>
      </c>
      <c r="F80" s="137">
        <f t="shared" si="33"/>
      </c>
      <c r="G80" s="137">
        <f t="shared" si="33"/>
      </c>
      <c r="H80" s="137">
        <f t="shared" si="33"/>
      </c>
      <c r="I80" s="137">
        <f t="shared" si="33"/>
      </c>
      <c r="J80" s="137">
        <f t="shared" si="33"/>
      </c>
      <c r="K80" s="137">
        <f t="shared" si="33"/>
      </c>
      <c r="L80" s="137">
        <f t="shared" si="33"/>
      </c>
      <c r="M80" s="137">
        <f t="shared" si="33"/>
      </c>
      <c r="N80" s="137">
        <f t="shared" si="33"/>
      </c>
      <c r="O80" s="138"/>
    </row>
    <row r="81" spans="2:16" s="115" customFormat="1" ht="12.75">
      <c r="B81" s="134"/>
      <c r="C81" s="134"/>
      <c r="D81" s="134"/>
      <c r="E81" s="134"/>
      <c r="F81" s="134"/>
      <c r="G81" s="134"/>
      <c r="H81" s="134"/>
      <c r="I81" s="134"/>
      <c r="J81" s="134"/>
      <c r="K81" s="134"/>
      <c r="L81" s="134"/>
      <c r="M81" s="134"/>
      <c r="N81" s="134"/>
      <c r="O81" s="134"/>
    </row>
    <row r="82" spans="2:16" s="115" customFormat="1" ht="12.75">
      <c r="B82" s="134" t="str">
        <f>Vertaling!$B$300</f>
      </c>
      <c r="C82" s="137">
        <f t="shared" ref="C82:N82" si="34">IF(C80&lt;0.001,0,$C$8*C80)</f>
      </c>
      <c r="D82" s="137">
        <f t="shared" si="34"/>
      </c>
      <c r="E82" s="137">
        <f t="shared" si="34"/>
      </c>
      <c r="F82" s="137">
        <f t="shared" si="34"/>
      </c>
      <c r="G82" s="137">
        <f t="shared" si="34"/>
      </c>
      <c r="H82" s="137">
        <f t="shared" si="34"/>
      </c>
      <c r="I82" s="137">
        <f t="shared" si="34"/>
      </c>
      <c r="J82" s="137">
        <f t="shared" si="34"/>
      </c>
      <c r="K82" s="137">
        <f t="shared" si="34"/>
      </c>
      <c r="L82" s="137">
        <f t="shared" si="34"/>
      </c>
      <c r="M82" s="137">
        <f t="shared" si="34"/>
      </c>
      <c r="N82" s="137">
        <f t="shared" si="34"/>
      </c>
      <c r="O82" s="138">
        <f>SUM(C82:N82)</f>
      </c>
    </row>
    <row r="83" spans="2:16" s="115" customFormat="1" ht="12.75">
      <c r="B83" s="134" t="str">
        <f>Vertaling!$B$301</f>
      </c>
      <c r="C83" s="137">
        <f>IF(C80&lt;0.001,0,IF(C78&lt;$C$11,0,IF($C$10=dropdowns!$B$186,$C$9,IF($C$10=dropdowns!$B$185,IFERROR((C82/(1-(1+$C$7/12)^-($C$4-N70)))-C82,0),0))))</f>
      </c>
      <c r="D83" s="137">
        <f>IF(D80&lt;0.001,0,IF(D78&lt;$C$11,0,IF($C$10=dropdowns!$B$186,$C$9,IF($C$10=dropdowns!$B$185,IFERROR((D82/(1-(1+$C$7/12)^-($C$4-C78)))-D82,0),0))))</f>
      </c>
      <c r="E83" s="137">
        <f>IF(E80&lt;0.001,0,IF(E78&lt;$C$11,0,IF($C$10=dropdowns!$B$186,$C$9,IF($C$10=dropdowns!$B$185,IFERROR((E82/(1-(1+$C$7/12)^-($C$4-D78)))-E82,0),0))))</f>
      </c>
      <c r="F83" s="137">
        <f>IF(F80&lt;0.001,0,IF(F78&lt;$C$11,0,IF($C$10=dropdowns!$B$186,$C$9,IF($C$10=dropdowns!$B$185,IFERROR((F82/(1-(1+$C$7/12)^-($C$4-E78)))-F82,0),0))))</f>
      </c>
      <c r="G83" s="137">
        <f>IF(G80&lt;0.001,0,IF(G78&lt;$C$11,0,IF($C$10=dropdowns!$B$186,$C$9,IF($C$10=dropdowns!$B$185,IFERROR((G82/(1-(1+$C$7/12)^-($C$4-F78)))-G82,0),0))))</f>
      </c>
      <c r="H83" s="137">
        <f>IF(H80&lt;0.001,0,IF(H78&lt;$C$11,0,IF($C$10=dropdowns!$B$186,$C$9,IF($C$10=dropdowns!$B$185,IFERROR((H82/(1-(1+$C$7/12)^-($C$4-G78)))-H82,0),0))))</f>
      </c>
      <c r="I83" s="137">
        <f>IF(I80&lt;0.001,0,IF(I78&lt;$C$11,0,IF($C$10=dropdowns!$B$186,$C$9,IF($C$10=dropdowns!$B$185,IFERROR((I82/(1-(1+$C$7/12)^-($C$4-H78)))-I82,0),0))))</f>
      </c>
      <c r="J83" s="137">
        <f>IF(J80&lt;0.001,0,IF(J78&lt;$C$11,0,IF($C$10=dropdowns!$B$186,$C$9,IF($C$10=dropdowns!$B$185,IFERROR((J82/(1-(1+$C$7/12)^-($C$4-I78)))-J82,0),0))))</f>
      </c>
      <c r="K83" s="137">
        <f>IF(K80&lt;0.001,0,IF(K78&lt;$C$11,0,IF($C$10=dropdowns!$B$186,$C$9,IF($C$10=dropdowns!$B$185,IFERROR((K82/(1-(1+$C$7/12)^-($C$4-J78)))-K82,0),0))))</f>
      </c>
      <c r="L83" s="137">
        <f>IF(L80&lt;0.001,0,IF(L78&lt;$C$11,0,IF($C$10=dropdowns!$B$186,$C$9,IF($C$10=dropdowns!$B$185,IFERROR((L82/(1-(1+$C$7/12)^-($C$4-K78)))-L82,0),0))))</f>
      </c>
      <c r="M83" s="137">
        <f>IF(M80&lt;0.001,0,IF(M78&lt;$C$11,0,IF($C$10=dropdowns!$B$186,$C$9,IF($C$10=dropdowns!$B$185,IFERROR((M82/(1-(1+$C$7/12)^-($C$4-L78)))-M82,0),0))))</f>
      </c>
      <c r="N83" s="137">
        <f>IF(N80&lt;0.001,0,IF(N78&lt;$C$11,0,IF($C$10=dropdowns!$B$186,$C$9,IF($C$10=dropdowns!$B$185,IFERROR((N82/(1-(1+$C$7/12)^-($C$4-M78)))-N82,0),0))))</f>
      </c>
      <c r="O83" s="138">
        <f>SUM(C83:N83)</f>
      </c>
    </row>
    <row r="84" spans="2:16" s="115" customFormat="1" ht="25.5">
      <c r="B84" s="143" t="str">
        <f>Vertaling!$B$303</f>
      </c>
      <c r="C84" s="141">
        <f t="shared" ref="C84:N84" si="35">SUM(C82:C83)</f>
      </c>
      <c r="D84" s="141">
        <f t="shared" si="35"/>
      </c>
      <c r="E84" s="141">
        <f t="shared" si="35"/>
      </c>
      <c r="F84" s="141">
        <f t="shared" si="35"/>
      </c>
      <c r="G84" s="141">
        <f t="shared" si="35"/>
      </c>
      <c r="H84" s="141">
        <f t="shared" si="35"/>
      </c>
      <c r="I84" s="141">
        <f t="shared" si="35"/>
      </c>
      <c r="J84" s="141">
        <f t="shared" si="35"/>
      </c>
      <c r="K84" s="141">
        <f t="shared" si="35"/>
      </c>
      <c r="L84" s="141">
        <f t="shared" si="35"/>
      </c>
      <c r="M84" s="141">
        <f t="shared" si="35"/>
      </c>
      <c r="N84" s="141">
        <f t="shared" si="35"/>
      </c>
      <c r="O84" s="142">
        <f>SUM(C84:N84)</f>
      </c>
    </row>
    <row r="85" spans="2:16" s="115" customFormat="1" ht="12.75"/>
    <row r="86" spans="2:16" s="115" customFormat="1" ht="12.75">
      <c r="B86" s="335" t="str">
        <f>Vertaling!$B$298&amp;N86/12</f>
      </c>
      <c r="C86" s="336">
        <f>N78+1</f>
      </c>
      <c r="D86" s="336">
        <f t="shared" ref="D86:N86" si="36">C86+1</f>
      </c>
      <c r="E86" s="336">
        <f t="shared" si="36"/>
      </c>
      <c r="F86" s="336">
        <f t="shared" si="36"/>
      </c>
      <c r="G86" s="336">
        <f t="shared" si="36"/>
      </c>
      <c r="H86" s="336">
        <f t="shared" si="36"/>
      </c>
      <c r="I86" s="336">
        <f t="shared" si="36"/>
      </c>
      <c r="J86" s="336">
        <f t="shared" si="36"/>
      </c>
      <c r="K86" s="336">
        <f t="shared" si="36"/>
      </c>
      <c r="L86" s="336">
        <f t="shared" si="36"/>
      </c>
      <c r="M86" s="336">
        <f t="shared" si="36"/>
      </c>
      <c r="N86" s="336">
        <f t="shared" si="36"/>
      </c>
      <c r="O86" s="336" t="s">
        <v>27</v>
      </c>
    </row>
    <row r="87" spans="2:16" s="115" customFormat="1" ht="12.75">
      <c r="B87" s="132"/>
      <c r="C87" s="133"/>
      <c r="D87" s="133"/>
      <c r="E87" s="133"/>
      <c r="F87" s="133"/>
      <c r="G87" s="133"/>
      <c r="H87" s="133"/>
      <c r="I87" s="133"/>
      <c r="J87" s="133"/>
      <c r="K87" s="133"/>
      <c r="L87" s="133"/>
      <c r="M87" s="133"/>
      <c r="N87" s="133"/>
      <c r="O87" s="133"/>
    </row>
    <row r="88" spans="2:16" s="115" customFormat="1" ht="12.75">
      <c r="B88" s="134" t="str">
        <f>Vertaling!$B$299</f>
      </c>
      <c r="C88" s="136">
        <f>N80-N83</f>
      </c>
      <c r="D88" s="137">
        <f t="shared" ref="D88:N88" si="37">C88-C91</f>
      </c>
      <c r="E88" s="137">
        <f t="shared" si="37"/>
      </c>
      <c r="F88" s="137">
        <f t="shared" si="37"/>
      </c>
      <c r="G88" s="137">
        <f t="shared" si="37"/>
      </c>
      <c r="H88" s="137">
        <f t="shared" si="37"/>
      </c>
      <c r="I88" s="137">
        <f t="shared" si="37"/>
      </c>
      <c r="J88" s="137">
        <f t="shared" si="37"/>
      </c>
      <c r="K88" s="137">
        <f t="shared" si="37"/>
      </c>
      <c r="L88" s="137">
        <f t="shared" si="37"/>
      </c>
      <c r="M88" s="137">
        <f t="shared" si="37"/>
      </c>
      <c r="N88" s="137">
        <f t="shared" si="37"/>
      </c>
      <c r="O88" s="138"/>
    </row>
    <row r="89" spans="2:16" s="115" customFormat="1" ht="12.75">
      <c r="B89" s="134"/>
      <c r="C89" s="134"/>
      <c r="D89" s="134"/>
      <c r="E89" s="134"/>
      <c r="F89" s="134"/>
      <c r="G89" s="134"/>
      <c r="H89" s="134"/>
      <c r="I89" s="134"/>
      <c r="J89" s="134"/>
      <c r="K89" s="134"/>
      <c r="L89" s="134"/>
      <c r="M89" s="134"/>
      <c r="N89" s="134"/>
      <c r="O89" s="134"/>
    </row>
    <row r="90" spans="2:16" s="115" customFormat="1" ht="12.75">
      <c r="B90" s="134" t="str">
        <f>Vertaling!$B$300</f>
      </c>
      <c r="C90" s="137">
        <f t="shared" ref="C90:N90" si="38">IF(C88&lt;0.001,0,$C$8*C88)</f>
      </c>
      <c r="D90" s="137">
        <f t="shared" si="38"/>
      </c>
      <c r="E90" s="137">
        <f t="shared" si="38"/>
      </c>
      <c r="F90" s="137">
        <f t="shared" si="38"/>
      </c>
      <c r="G90" s="137">
        <f t="shared" si="38"/>
      </c>
      <c r="H90" s="137">
        <f t="shared" si="38"/>
      </c>
      <c r="I90" s="137">
        <f t="shared" si="38"/>
      </c>
      <c r="J90" s="137">
        <f t="shared" si="38"/>
      </c>
      <c r="K90" s="137">
        <f t="shared" si="38"/>
      </c>
      <c r="L90" s="137">
        <f t="shared" si="38"/>
      </c>
      <c r="M90" s="137">
        <f t="shared" si="38"/>
      </c>
      <c r="N90" s="137">
        <f t="shared" si="38"/>
      </c>
      <c r="O90" s="138">
        <f>SUM(C90:N90)</f>
      </c>
    </row>
    <row r="91" spans="2:16" s="115" customFormat="1" ht="12.75">
      <c r="B91" s="134" t="str">
        <f>Vertaling!$B$301</f>
      </c>
      <c r="C91" s="137">
        <f>IF(C88&lt;0.001,0,IF(C86&lt;$C$11,0,IF($C$10=dropdowns!$B$186,$C$9,IF($C$10=dropdowns!$B$185,IFERROR((C90/(1-(1+$C$7/12)^-($C$4-N78)))-C90,0),0))))</f>
      </c>
      <c r="D91" s="137">
        <f>IF(D88&lt;0.001,0,IF(D86&lt;$C$11,0,IF($C$10=dropdowns!$B$186,$C$9,IF($C$10=dropdowns!$B$185,IFERROR((D90/(1-(1+$C$7/12)^-($C$4-C86)))-D90,0),0))))</f>
      </c>
      <c r="E91" s="137">
        <f>IF(E88&lt;0.001,0,IF(E86&lt;$C$11,0,IF($C$10=dropdowns!$B$186,$C$9,IF($C$10=dropdowns!$B$185,IFERROR((E90/(1-(1+$C$7/12)^-($C$4-D86)))-E90,0),0))))</f>
      </c>
      <c r="F91" s="137">
        <f>IF(F88&lt;0.001,0,IF(F86&lt;$C$11,0,IF($C$10=dropdowns!$B$186,$C$9,IF($C$10=dropdowns!$B$185,IFERROR((F90/(1-(1+$C$7/12)^-($C$4-E86)))-F90,0),0))))</f>
      </c>
      <c r="G91" s="137">
        <f>IF(G88&lt;0.001,0,IF(G86&lt;$C$11,0,IF($C$10=dropdowns!$B$186,$C$9,IF($C$10=dropdowns!$B$185,IFERROR((G90/(1-(1+$C$7/12)^-($C$4-F86)))-G90,0),0))))</f>
      </c>
      <c r="H91" s="137">
        <f>IF(H88&lt;0.001,0,IF(H86&lt;$C$11,0,IF($C$10=dropdowns!$B$186,$C$9,IF($C$10=dropdowns!$B$185,IFERROR((H90/(1-(1+$C$7/12)^-($C$4-G86)))-H90,0),0))))</f>
      </c>
      <c r="I91" s="137">
        <f>IF(I88&lt;0.001,0,IF(I86&lt;$C$11,0,IF($C$10=dropdowns!$B$186,$C$9,IF($C$10=dropdowns!$B$185,IFERROR((I90/(1-(1+$C$7/12)^-($C$4-H86)))-I90,0),0))))</f>
      </c>
      <c r="J91" s="137">
        <f>IF(J88&lt;0.001,0,IF(J86&lt;$C$11,0,IF($C$10=dropdowns!$B$186,$C$9,IF($C$10=dropdowns!$B$185,IFERROR((J90/(1-(1+$C$7/12)^-($C$4-I86)))-J90,0),0))))</f>
      </c>
      <c r="K91" s="137">
        <f>IF(K88&lt;0.001,0,IF(K86&lt;$C$11,0,IF($C$10=dropdowns!$B$186,$C$9,IF($C$10=dropdowns!$B$185,IFERROR((K90/(1-(1+$C$7/12)^-($C$4-J86)))-K90,0),0))))</f>
      </c>
      <c r="L91" s="137">
        <f>IF(L88&lt;0.001,0,IF(L86&lt;$C$11,0,IF($C$10=dropdowns!$B$186,$C$9,IF($C$10=dropdowns!$B$185,IFERROR((L90/(1-(1+$C$7/12)^-($C$4-K86)))-L90,0),0))))</f>
      </c>
      <c r="M91" s="137">
        <f>IF(M88&lt;0.001,0,IF(M86&lt;$C$11,0,IF($C$10=dropdowns!$B$186,$C$9,IF($C$10=dropdowns!$B$185,IFERROR((M90/(1-(1+$C$7/12)^-($C$4-L86)))-M90,0),0))))</f>
      </c>
      <c r="N91" s="137">
        <f>IF(N88&lt;0.001,0,IF(N86&lt;$C$11,0,IF($C$10=dropdowns!$B$186,$C$9,IF($C$10=dropdowns!$B$185,IFERROR((N90/(1-(1+$C$7/12)^-($C$4-M86)))-N90,0),0))))</f>
      </c>
      <c r="O91" s="138">
        <f>SUM(C91:N91)</f>
      </c>
    </row>
    <row r="92" spans="2:16" s="115" customFormat="1" ht="25.5">
      <c r="B92" s="143" t="str">
        <f>Vertaling!$B$303</f>
      </c>
      <c r="C92" s="141">
        <f t="shared" ref="C92:N92" si="39">SUM(C90:C91)</f>
      </c>
      <c r="D92" s="141">
        <f t="shared" si="39"/>
      </c>
      <c r="E92" s="141">
        <f t="shared" si="39"/>
      </c>
      <c r="F92" s="141">
        <f t="shared" si="39"/>
      </c>
      <c r="G92" s="141">
        <f t="shared" si="39"/>
      </c>
      <c r="H92" s="141">
        <f t="shared" si="39"/>
      </c>
      <c r="I92" s="141">
        <f t="shared" si="39"/>
      </c>
      <c r="J92" s="141">
        <f t="shared" si="39"/>
      </c>
      <c r="K92" s="141">
        <f t="shared" si="39"/>
      </c>
      <c r="L92" s="141">
        <f t="shared" si="39"/>
      </c>
      <c r="M92" s="141">
        <f t="shared" si="39"/>
      </c>
      <c r="N92" s="141">
        <f t="shared" si="39"/>
      </c>
      <c r="O92" s="142">
        <f>SUM(C92:N92)</f>
      </c>
    </row>
    <row r="93" spans="2:16" s="115" customFormat="1" ht="12.75"/>
    <row r="94" spans="2:16" s="115" customFormat="1" ht="12.75"/>
    <row r="95" spans="2:16" s="115" customFormat="1" ht="12.75">
      <c r="P95" s="116"/>
    </row>
    <row r="96" spans="2:16" s="115" customFormat="1" ht="12.75">
      <c r="P96" s="116"/>
    </row>
  </sheetData>
  <sheetProtection algorithmName="SHA-512" hashValue="nFKl0h2/1va7Xy3MtTmimeYYFZDfWnk2loHYmNgvN/m2H1jNtCAOut5oT85V5jqu0AmJRqsbwFjtNxAvzT/Jsg==" saltValue="exUxTyEp+CxPHp7fHpv+pQ==" spinCount="100000" sheet="1" formatColumns="0"/>
  <mergeCells count="1">
    <mergeCell ref="B1:I1"/>
  </mergeCells>
  <pageMargins left="0.70833333333333337" right="0.70833333333333337" top="0.74791666666666667" bottom="0.74791666666666667" header="0.51180555555555551" footer="0.51180555555555551"/>
  <pageSetup paperSize="9" scale="64" firstPageNumber="0" fitToHeight="0" orientation="landscape" horizontalDpi="300" verticalDpi="300" r:id="rId1"/>
  <headerFooter alignWithMargins="0"/>
  <rowBreaks count="1" manualBreakCount="1">
    <brk id="44"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42"/>
  <sheetViews>
    <sheetView workbookViewId="0">
      <pane xSplit="1" ySplit="1" topLeftCell="D101" activePane="bottomRight" state="frozen"/>
      <selection activeCell="B174" sqref="B174"/>
      <selection pane="topRight" activeCell="B174" sqref="B174"/>
      <selection pane="bottomLeft" activeCell="B174" sqref="B174"/>
      <selection pane="bottomRight" activeCell="B174" sqref="B174"/>
    </sheetView>
  </sheetViews>
  <sheetFormatPr defaultColWidth="9.140625" defaultRowHeight="12.75"/>
  <cols>
    <col min="1" max="1" width="5.140625" style="88" customWidth="1"/>
    <col min="2" max="5" width="75.7109375" style="88" customWidth="1"/>
    <col min="6" max="6" width="74.42578125" customWidth="1"/>
    <col min="7" max="16384" width="9.140625" style="88"/>
  </cols>
  <sheetData>
    <row r="1" spans="1:6">
      <c r="A1" s="88">
        <v>1</v>
      </c>
      <c r="B1" s="88" t="s">
        <v>33</v>
      </c>
      <c r="C1" s="88" t="s">
        <v>34</v>
      </c>
      <c r="D1" s="88" t="s">
        <v>35</v>
      </c>
      <c r="E1" s="88" t="s">
        <v>36</v>
      </c>
      <c r="F1" s="88" t="s">
        <v>37</v>
      </c>
    </row>
    <row r="2" spans="1:6">
      <c r="A2" s="88">
        <v>2</v>
      </c>
      <c r="B2" s="88" t="str">
        <f>HLOOKUP(Introduzione!$B$9,$C:$G,$A2,FALSE)</f>
      </c>
      <c r="C2" s="88" t="s">
        <v>38</v>
      </c>
      <c r="D2" s="88" t="s">
        <v>38</v>
      </c>
      <c r="E2" s="88" t="s">
        <v>39</v>
      </c>
      <c r="F2" s="88" t="s">
        <v>40</v>
      </c>
    </row>
    <row r="3" spans="1:6">
      <c r="A3" s="88">
        <v>3</v>
      </c>
      <c r="B3" s="88" t="str">
        <f>HLOOKUP(Introduzione!$B$9,$C:$G,$A3,FALSE)</f>
      </c>
      <c r="C3" s="88" t="s">
        <v>41</v>
      </c>
      <c r="D3" s="88" t="s">
        <v>42</v>
      </c>
      <c r="E3" s="88" t="s">
        <v>43</v>
      </c>
      <c r="F3" s="88" t="s">
        <v>44</v>
      </c>
    </row>
    <row r="4" spans="1:6" ht="38.25">
      <c r="A4" s="88">
        <v>4</v>
      </c>
      <c r="B4" s="88" t="str">
        <f>HLOOKUP(Introduzione!$B$9,$C:$G,$A4,FALSE)</f>
      </c>
      <c r="C4" s="88" t="s">
        <v>45</v>
      </c>
      <c r="D4" s="88" t="s">
        <v>46</v>
      </c>
      <c r="E4" s="88" t="s">
        <v>47</v>
      </c>
      <c r="F4" s="88" t="s">
        <v>48</v>
      </c>
    </row>
    <row r="5" spans="1:6">
      <c r="A5" s="88">
        <v>5</v>
      </c>
      <c r="B5" s="88" t="str">
        <f>HLOOKUP(Introduzione!$B$9,$C:$G,$A5,FALSE)</f>
      </c>
      <c r="C5" s="88" t="s">
        <v>49</v>
      </c>
      <c r="D5" s="88" t="s">
        <v>50</v>
      </c>
      <c r="E5" s="88" t="s">
        <v>39</v>
      </c>
      <c r="F5" s="88" t="s">
        <v>40</v>
      </c>
    </row>
    <row r="6" spans="1:6" ht="51">
      <c r="A6" s="88">
        <v>6</v>
      </c>
      <c r="B6" s="88" t="str">
        <f>HLOOKUP(Introduzione!$B$9,$C:$G,$A6,FALSE)</f>
      </c>
      <c r="C6" s="88" t="s">
        <v>51</v>
      </c>
      <c r="D6" s="88" t="s">
        <v>52</v>
      </c>
      <c r="E6" s="88" t="s">
        <v>53</v>
      </c>
      <c r="F6" s="88" t="s">
        <v>54</v>
      </c>
    </row>
    <row r="7" spans="1:6">
      <c r="A7" s="88">
        <v>7</v>
      </c>
      <c r="B7" s="88" t="str">
        <f>HLOOKUP(Introduzione!$B$9,$C:$G,$A7,FALSE)</f>
      </c>
      <c r="C7" s="88" t="s">
        <v>55</v>
      </c>
      <c r="D7" s="88" t="s">
        <v>56</v>
      </c>
      <c r="E7" s="88" t="s">
        <v>57</v>
      </c>
      <c r="F7" s="88" t="s">
        <v>58</v>
      </c>
    </row>
    <row r="8" spans="1:6">
      <c r="A8" s="88">
        <v>8</v>
      </c>
      <c r="B8" s="88" t="str">
        <f>HLOOKUP(Introduzione!$B$9,$C:$G,$A8,FALSE)</f>
      </c>
      <c r="C8" s="88" t="s">
        <v>59</v>
      </c>
      <c r="D8" s="88" t="s">
        <v>60</v>
      </c>
      <c r="E8" s="88" t="s">
        <v>61</v>
      </c>
      <c r="F8" s="88" t="s">
        <v>62</v>
      </c>
    </row>
    <row r="9" spans="1:6">
      <c r="A9" s="88">
        <v>9</v>
      </c>
      <c r="B9" s="88" t="str">
        <f>HLOOKUP(Introduzione!$B$9,$C:$G,$A9,FALSE)</f>
      </c>
      <c r="C9" s="88" t="s">
        <v>63</v>
      </c>
      <c r="D9" s="88" t="s">
        <v>64</v>
      </c>
      <c r="E9" s="88" t="s">
        <v>65</v>
      </c>
      <c r="F9" s="88" t="s">
        <v>66</v>
      </c>
    </row>
    <row r="10" spans="1:6">
      <c r="A10" s="88">
        <v>10</v>
      </c>
      <c r="B10" s="88" t="str">
        <f>HLOOKUP(Introduzione!$B$9,$C:$G,$A10,FALSE)</f>
      </c>
      <c r="C10" s="88" t="s">
        <v>67</v>
      </c>
      <c r="D10" s="88" t="s">
        <v>68</v>
      </c>
      <c r="E10" s="88" t="s">
        <v>69</v>
      </c>
      <c r="F10" s="88" t="s">
        <v>70</v>
      </c>
    </row>
    <row r="11" spans="1:6">
      <c r="A11" s="88">
        <v>11</v>
      </c>
      <c r="B11" s="88" t="str">
        <f>HLOOKUP(Introduzione!$B$9,$C:$G,$A11,FALSE)</f>
      </c>
      <c r="C11" s="88" t="s">
        <v>71</v>
      </c>
      <c r="D11" s="88" t="s">
        <v>72</v>
      </c>
      <c r="E11" s="88" t="s">
        <v>73</v>
      </c>
      <c r="F11" s="88" t="s">
        <v>74</v>
      </c>
    </row>
    <row r="12" spans="1:6">
      <c r="A12" s="88">
        <v>12</v>
      </c>
      <c r="B12" s="88" t="str">
        <f>HLOOKUP(Introduzione!$B$9,$C:$G,$A12,FALSE)</f>
      </c>
      <c r="C12" s="88" t="s">
        <v>75</v>
      </c>
      <c r="D12" s="88" t="s">
        <v>76</v>
      </c>
      <c r="E12" s="88" t="s">
        <v>77</v>
      </c>
      <c r="F12" s="88" t="s">
        <v>78</v>
      </c>
    </row>
    <row r="13" spans="1:6" ht="25.5">
      <c r="A13" s="88">
        <v>13</v>
      </c>
      <c r="B13" s="88" t="str">
        <f>HLOOKUP(Introduzione!$B$9,$C:$G,$A13,FALSE)</f>
      </c>
      <c r="C13" s="88" t="s">
        <v>79</v>
      </c>
      <c r="D13" s="88" t="s">
        <v>80</v>
      </c>
      <c r="E13" s="88" t="s">
        <v>81</v>
      </c>
      <c r="F13" s="88" t="s">
        <v>82</v>
      </c>
    </row>
    <row r="14" spans="1:6" ht="25.5">
      <c r="A14" s="88">
        <v>14</v>
      </c>
      <c r="B14" s="88" t="str">
        <f>HLOOKUP(Introduzione!$B$9,$C:$G,$A14,FALSE)</f>
      </c>
      <c r="C14" s="88" t="s">
        <v>83</v>
      </c>
      <c r="D14" s="88" t="s">
        <v>84</v>
      </c>
      <c r="E14" s="88" t="s">
        <v>85</v>
      </c>
      <c r="F14" s="88" t="s">
        <v>86</v>
      </c>
    </row>
    <row r="15" spans="1:6" ht="38.25">
      <c r="A15" s="88">
        <v>15</v>
      </c>
      <c r="B15" s="88" t="str">
        <f>HLOOKUP(Introduzione!$B$9,$C:$G,$A15,FALSE)</f>
      </c>
      <c r="C15" s="88" t="s">
        <v>87</v>
      </c>
      <c r="D15" s="88" t="s">
        <v>88</v>
      </c>
      <c r="E15" s="88" t="s">
        <v>89</v>
      </c>
      <c r="F15" s="88" t="s">
        <v>90</v>
      </c>
    </row>
    <row r="16" spans="1:6" ht="38.25">
      <c r="A16" s="88">
        <v>16</v>
      </c>
      <c r="B16" s="88" t="str">
        <f>HLOOKUP(Introduzione!$B$9,$C:$G,$A16,FALSE)</f>
      </c>
      <c r="C16" s="88" t="s">
        <v>91</v>
      </c>
      <c r="D16" s="88" t="s">
        <v>92</v>
      </c>
      <c r="E16" s="88" t="s">
        <v>93</v>
      </c>
      <c r="F16" s="88" t="s">
        <v>94</v>
      </c>
    </row>
    <row r="17" spans="1:6">
      <c r="A17" s="88">
        <v>17</v>
      </c>
      <c r="B17" s="88" t="str">
        <f>HLOOKUP(Introduzione!$B$9,$C:$G,$A17,FALSE)</f>
      </c>
      <c r="C17" s="88" t="s">
        <v>95</v>
      </c>
      <c r="D17" s="88" t="s">
        <v>96</v>
      </c>
      <c r="E17" s="88" t="s">
        <v>97</v>
      </c>
      <c r="F17" s="88" t="s">
        <v>98</v>
      </c>
    </row>
    <row r="18" spans="1:6" ht="25.5">
      <c r="A18" s="88">
        <v>18</v>
      </c>
      <c r="B18" s="88" t="str">
        <f>HLOOKUP(Introduzione!$B$9,$C:$G,$A18,FALSE)</f>
      </c>
      <c r="C18" s="88" t="s">
        <v>99</v>
      </c>
      <c r="D18" s="88" t="s">
        <v>100</v>
      </c>
      <c r="E18" s="88" t="s">
        <v>101</v>
      </c>
      <c r="F18" s="88" t="s">
        <v>102</v>
      </c>
    </row>
    <row r="19" spans="1:6">
      <c r="A19" s="88">
        <v>19</v>
      </c>
      <c r="B19" s="88" t="str">
        <f>HLOOKUP(Introduzione!$B$9,$C:$G,$A19,FALSE)</f>
      </c>
      <c r="C19" s="88" t="s">
        <v>103</v>
      </c>
      <c r="D19" s="88" t="s">
        <v>104</v>
      </c>
      <c r="E19" s="88" t="s">
        <v>105</v>
      </c>
      <c r="F19" s="88" t="s">
        <v>106</v>
      </c>
    </row>
    <row r="20" spans="1:6" ht="25.5">
      <c r="A20" s="88">
        <v>20</v>
      </c>
      <c r="B20" s="88" t="str">
        <f>HLOOKUP(Introduzione!$B$9,$C:$G,$A20,FALSE)</f>
      </c>
      <c r="C20" s="88" t="s">
        <v>107</v>
      </c>
      <c r="D20" s="88" t="s">
        <v>108</v>
      </c>
      <c r="E20" s="88" t="s">
        <v>109</v>
      </c>
      <c r="F20" s="88" t="s">
        <v>110</v>
      </c>
    </row>
    <row r="21" spans="1:6" ht="21">
      <c r="A21" s="88">
        <v>21</v>
      </c>
      <c r="B21" s="90" t="s">
        <v>111</v>
      </c>
      <c r="C21" s="90" t="s">
        <v>111</v>
      </c>
      <c r="D21" s="90" t="s">
        <v>111</v>
      </c>
      <c r="E21" s="90" t="s">
        <v>112</v>
      </c>
      <c r="F21" s="90" t="s">
        <v>113</v>
      </c>
    </row>
    <row r="22" spans="1:6" ht="76.5">
      <c r="A22" s="88">
        <v>22</v>
      </c>
      <c r="B22" s="88" t="str">
        <f>HLOOKUP(Introduzione!$B$9,$C:$G,$A22,FALSE)</f>
      </c>
      <c r="C22" s="88" t="s">
        <v>114</v>
      </c>
      <c r="D22" s="88" t="s">
        <v>115</v>
      </c>
      <c r="E22" s="88" t="s">
        <v>116</v>
      </c>
      <c r="F22" s="88" t="s">
        <v>117</v>
      </c>
    </row>
    <row r="23" spans="1:6">
      <c r="A23" s="88">
        <v>23</v>
      </c>
      <c r="B23" s="88" t="str">
        <f>HLOOKUP(Introduzione!$B$9,$C:$G,$A23,FALSE)</f>
      </c>
      <c r="C23" s="88" t="s">
        <v>118</v>
      </c>
      <c r="D23" s="88" t="s">
        <v>119</v>
      </c>
      <c r="E23" s="88" t="s">
        <v>120</v>
      </c>
      <c r="F23" s="88" t="s">
        <v>121</v>
      </c>
    </row>
    <row r="24" spans="1:6">
      <c r="A24" s="88">
        <v>24</v>
      </c>
      <c r="B24" s="88" t="str">
        <f>HLOOKUP(Introduzione!$B$9,$C:$G,$A24,FALSE)</f>
      </c>
      <c r="C24" s="88" t="s">
        <v>122</v>
      </c>
      <c r="D24" s="88" t="s">
        <v>123</v>
      </c>
      <c r="E24" s="88" t="s">
        <v>120</v>
      </c>
      <c r="F24" s="88" t="s">
        <v>124</v>
      </c>
    </row>
    <row r="25" spans="1:6">
      <c r="A25" s="88">
        <v>25</v>
      </c>
      <c r="B25" s="88" t="str">
        <f>HLOOKUP(Introduzione!$B$9,$C:$G,$A25,FALSE)</f>
      </c>
      <c r="C25" s="88" t="s">
        <v>125</v>
      </c>
      <c r="D25" s="88" t="s">
        <v>126</v>
      </c>
      <c r="E25" s="88" t="s">
        <v>127</v>
      </c>
      <c r="F25" s="88" t="s">
        <v>128</v>
      </c>
    </row>
    <row r="26" spans="1:6">
      <c r="A26" s="88">
        <v>26</v>
      </c>
      <c r="B26" s="88" t="str">
        <f>HLOOKUP(Introduzione!$B$9,$C:$G,$A26,FALSE)</f>
      </c>
      <c r="C26" s="88" t="s">
        <v>129</v>
      </c>
      <c r="D26" s="88" t="s">
        <v>130</v>
      </c>
      <c r="E26" s="88" t="s">
        <v>131</v>
      </c>
      <c r="F26" s="88" t="s">
        <v>132</v>
      </c>
    </row>
    <row r="27" spans="1:6">
      <c r="A27" s="88">
        <v>27</v>
      </c>
      <c r="B27" s="88" t="str">
        <f>HLOOKUP(Introduzione!$B$9,$C:$G,$A27,FALSE)</f>
      </c>
      <c r="C27" s="88" t="str">
        <f>IF('Le mie risposte'!$D$7="Eenmanszaak","","Hoeveel ondernemers zitten er in het bedrijf?")</f>
      </c>
      <c r="D27" s="88" t="s">
        <v>133</v>
      </c>
      <c r="E27" s="88" t="str">
        <f>IF('Le mie risposte'!$D$7=dropdowns!$B$174,"","¿Cuántos socios tiene tu empresa?")</f>
      </c>
      <c r="F27" s="104" t="s">
        <v>1821</v>
      </c>
    </row>
    <row r="28" spans="1:6">
      <c r="A28" s="88">
        <v>28</v>
      </c>
      <c r="B28" s="88" t="str">
        <f>HLOOKUP(Introduzione!$B$9,$C:$G,$A28,FALSE)</f>
      </c>
      <c r="C28" s="88" t="s">
        <v>134</v>
      </c>
      <c r="D28" s="88" t="s">
        <v>135</v>
      </c>
      <c r="E28" s="88" t="s">
        <v>136</v>
      </c>
      <c r="F28" s="88" t="s">
        <v>137</v>
      </c>
    </row>
    <row r="29" spans="1:6">
      <c r="A29" s="88">
        <v>29</v>
      </c>
      <c r="B29" s="88" t="str">
        <f>HLOOKUP(Introduzione!$B$9,$C:$G,$A29,FALSE)</f>
      </c>
      <c r="C29" s="88" t="s">
        <v>138</v>
      </c>
      <c r="D29" s="88" t="s">
        <v>139</v>
      </c>
      <c r="E29" s="88" t="s">
        <v>140</v>
      </c>
      <c r="F29" s="88" t="s">
        <v>141</v>
      </c>
    </row>
    <row r="30" spans="1:6">
      <c r="A30" s="88">
        <v>30</v>
      </c>
      <c r="B30" s="88" t="str">
        <f>HLOOKUP(Introduzione!$B$9,$C:$G,$A30,FALSE)</f>
      </c>
      <c r="C30" s="88" t="s">
        <v>138</v>
      </c>
      <c r="D30" s="88" t="s">
        <v>139</v>
      </c>
      <c r="E30" s="88" t="s">
        <v>140</v>
      </c>
      <c r="F30" s="88" t="s">
        <v>141</v>
      </c>
    </row>
    <row r="31" spans="1:6">
      <c r="A31" s="88">
        <v>31</v>
      </c>
      <c r="B31" s="88" t="str">
        <f>HLOOKUP(Introduzione!$B$9,$C:$G,$A31,FALSE)</f>
      </c>
      <c r="C31" s="88" t="str">
        <f>IF(AND(OR('Le mie risposte'!$D$7="V.O.F.",'Le mie risposte'!$D$7="B.V."),'Le mie risposte'!D9="Twee"),"Vul de antwoorden op de privé vragen voor beide ondernemers apart in.  (Man/vrouw kan ook gezamenlijk)",IF(AND(OR('Le mie risposte'!$D$7="V.O.F.",'Le mie risposte'!$D$7="B.V."),'Le mie risposte'!$D$9="Meer"),"Vul de antwoorden op de privé vragen voor max. twee ondernemers apart in. (Man/vrouw kan ook gezamenlijk)","Vul de antwoorden op de privé vragen in bij kolom F."))</f>
      </c>
      <c r="D31" s="88" t="str">
        <f>IF(AND(OR('Le mie risposte'!$D$7="V.O.F.",'Le mie risposte'!$D$7="B.V."),'Le mie risposte'!D9="Two"),"Fill in separate answers to personal finance questions for both entrepreneurs (answers for husband &amp; wife may be combined).",IF(AND(OR('Le mie risposte'!$D$7="V.O.F.",'Le mie risposte'!$D$7="B.V."),'Le mie risposte'!$D$9="More"),"Fill in separate answers to personal finance questions for maximum two entrepreneurs (answers for husband &amp; wife may be combined).","Use column F for answers to questions about personal finances."))</f>
      </c>
      <c r="E31" s="88" t="str">
        <f>IF(AND(OR('Le mie risposte'!$D$7=dropdowns!$B$175,'Le mie risposte'!$D$7=dropdowns!$B$176),OR('Le mie risposte'!$D$9=dropdowns!$B$181,'Le mie risposte'!$D$9=dropdowns!$B$181)),"","Utiliza la columna F para responder a las preguntas sobre tu economía doméstica")</f>
      </c>
      <c r="F31" s="88" t="str">
        <f>IF(AND(OR('Le mie risposte'!$D$7=dropdowns!$B$175,'Le mie risposte'!$D$7=dropdowns!$B$176),OR('Le mie risposte'!$D$9=dropdowns!$B$181,'Le mie risposte'!$D$9=dropdowns!$B$181)),"","Inserisci nella colonna F le risposte alle domande")</f>
      </c>
    </row>
    <row r="32" spans="1:6">
      <c r="A32" s="88">
        <v>32</v>
      </c>
      <c r="B32" s="88" t="str">
        <f>HLOOKUP(Introduzione!$B$9,$C:$G,$A32,FALSE)</f>
      </c>
      <c r="C32" s="88" t="str">
        <f>IF(AND(OR('Le mie risposte'!$D$7="V.O.F.",'Le mie risposte'!$D$7="B.V."),OR('Le mie risposte'!$D$9="Twee",'Le mie risposte'!$D$9="Meer")),"1e ondernemer","")</f>
      </c>
      <c r="D32" s="88" t="str">
        <f>IF(AND(OR('Le mie risposte'!$D$7="V.O.F.",'Le mie risposte'!$D$7="B.V."),OR('Le mie risposte'!$D$9="Two",'Le mie risposte'!$D$9="More")),"First entrepreneur:","")</f>
      </c>
      <c r="E32" s="88" t="str">
        <f>IF(AND(OR('Le mie risposte'!$D$7=dropdowns!$B$175,'Le mie risposte'!$D$7=dropdowns!$B$176),OR('Le mie risposte'!$D$9=dropdowns!$B$181,'Le mie risposte'!$D$9=dropdowns!$B$181)),"Primer socio","")</f>
      </c>
      <c r="F32" s="88" t="str">
        <f>IF(AND(OR('Le mie risposte'!$D$7=dropdowns!$B$175,'Le mie risposte'!$D$7=dropdowns!$B$176),OR('Le mie risposte'!$D$9=dropdowns!$B$181,'Le mie risposte'!$D$9=dropdowns!$B$181)),"1° imprenditore","")</f>
      </c>
    </row>
    <row r="33" spans="1:6">
      <c r="A33" s="88">
        <v>33</v>
      </c>
      <c r="B33" s="88" t="str">
        <f>HLOOKUP(Introduzione!$B$9,$C:$G,$A33,FALSE)</f>
      </c>
      <c r="C33" s="88" t="str">
        <f>IF(AND(OR('Le mie risposte'!$D$7="V.O.F.",'Le mie risposte'!$D$7="B.V."),OR('Le mie risposte'!$D$9="Twee",'Le mie risposte'!$D$9="Meer")),"2e ondernemer:","Ondernemer:")</f>
      </c>
      <c r="D33" s="88" t="str">
        <f>IF(AND(OR('Le mie risposte'!$D$7="V.O.F.",'Le mie risposte'!$D$7="B.V."),OR('Le mie risposte'!$D$9="Two",'Le mie risposte'!$D$9="More")),"Second entrepreneur:","Entrepreneur:")</f>
      </c>
      <c r="E33" s="88" t="str">
        <f>IF(AND(OR('Le mie risposte'!$D$7=dropdowns!$B$175,'Le mie risposte'!$D$7=dropdowns!$B$176),OR('Le mie risposte'!$D$9=dropdowns!$B$181,'Le mie risposte'!$D$9=dropdowns!$B$181)),"Segundo socio","Emprendedor")</f>
      </c>
      <c r="F33" s="88" t="str">
        <f>IF(AND(OR('Le mie risposte'!$D$7=dropdowns!$B$175,'Le mie risposte'!$D$7=dropdowns!$B$176),OR('Le mie risposte'!$D$9=dropdowns!$B$181,'Le mie risposte'!$D$9=dropdowns!$B$181)),"2° imprenditore:","Imprenditore:")</f>
      </c>
    </row>
    <row r="34" spans="1:6">
      <c r="A34" s="88">
        <v>34</v>
      </c>
      <c r="B34" s="88" t="str">
        <f>HLOOKUP(Introduzione!$B$9,$C:$G,$A34,FALSE)</f>
      </c>
      <c r="C34" s="88" t="s">
        <v>142</v>
      </c>
      <c r="D34" s="88" t="s">
        <v>143</v>
      </c>
      <c r="E34" s="88" t="s">
        <v>144</v>
      </c>
      <c r="F34" s="88" t="s">
        <v>145</v>
      </c>
    </row>
    <row r="35" spans="1:6">
      <c r="A35" s="88">
        <v>35</v>
      </c>
      <c r="B35" s="88" t="str">
        <f>HLOOKUP(Introduzione!$B$9,$C:$G,$A35,FALSE)</f>
      </c>
      <c r="C35" s="88" t="s">
        <v>146</v>
      </c>
      <c r="D35" s="88" t="s">
        <v>147</v>
      </c>
      <c r="E35" s="88" t="s">
        <v>148</v>
      </c>
      <c r="F35" s="88" t="s">
        <v>149</v>
      </c>
    </row>
    <row r="36" spans="1:6">
      <c r="A36" s="88">
        <v>36</v>
      </c>
      <c r="B36" s="88" t="str">
        <f>HLOOKUP(Introduzione!$B$9,$C:$G,$A36,FALSE)</f>
      </c>
      <c r="C36" s="88" t="s">
        <v>150</v>
      </c>
      <c r="D36" s="88" t="s">
        <v>151</v>
      </c>
      <c r="E36" s="88" t="s">
        <v>152</v>
      </c>
      <c r="F36" s="88" t="s">
        <v>153</v>
      </c>
    </row>
    <row r="37" spans="1:6">
      <c r="A37" s="88">
        <v>37</v>
      </c>
      <c r="B37" s="88" t="str">
        <f>HLOOKUP(Introduzione!$B$9,$C:$G,$A37,FALSE)</f>
      </c>
      <c r="C37" s="88" t="s">
        <v>154</v>
      </c>
      <c r="D37" s="88" t="s">
        <v>155</v>
      </c>
      <c r="E37" s="88" t="s">
        <v>156</v>
      </c>
      <c r="F37" s="88" t="s">
        <v>157</v>
      </c>
    </row>
    <row r="38" spans="1:6" ht="25.5">
      <c r="A38" s="88">
        <v>38</v>
      </c>
      <c r="B38" s="88" t="str">
        <f>HLOOKUP(Introduzione!$B$9,$C:$G,$A38,FALSE)</f>
      </c>
      <c r="C38" s="88" t="s">
        <v>158</v>
      </c>
      <c r="D38" s="88" t="s">
        <v>159</v>
      </c>
      <c r="E38" s="88" t="s">
        <v>160</v>
      </c>
      <c r="F38" s="88" t="s">
        <v>161</v>
      </c>
    </row>
    <row r="39" spans="1:6" ht="25.5">
      <c r="A39" s="88">
        <v>39</v>
      </c>
      <c r="B39" s="88" t="str">
        <f>HLOOKUP(Introduzione!$B$9,$C:$G,$A39,FALSE)</f>
      </c>
      <c r="C39" s="88" t="s">
        <v>162</v>
      </c>
      <c r="D39" s="88" t="s">
        <v>163</v>
      </c>
      <c r="E39" s="88" t="s">
        <v>164</v>
      </c>
      <c r="F39" s="88" t="s">
        <v>165</v>
      </c>
    </row>
    <row r="40" spans="1:6" ht="25.5">
      <c r="A40" s="88">
        <v>40</v>
      </c>
      <c r="B40" s="88" t="str">
        <f>HLOOKUP(Introduzione!$B$9,$C:$G,$A40,FALSE)</f>
      </c>
      <c r="C40" s="88" t="s">
        <v>166</v>
      </c>
      <c r="D40" s="88" t="s">
        <v>167</v>
      </c>
      <c r="E40" s="88" t="s">
        <v>168</v>
      </c>
      <c r="F40" s="88" t="s">
        <v>1822</v>
      </c>
    </row>
    <row r="41" spans="1:6" ht="25.5">
      <c r="A41" s="88">
        <v>41</v>
      </c>
      <c r="B41" s="88" t="str">
        <f>HLOOKUP(Introduzione!$B$9,$C:$G,$A41,FALSE)</f>
      </c>
      <c r="C41" s="88" t="s">
        <v>169</v>
      </c>
      <c r="D41" s="88" t="s">
        <v>170</v>
      </c>
      <c r="E41" s="88" t="s">
        <v>171</v>
      </c>
      <c r="F41" s="88" t="s">
        <v>1836</v>
      </c>
    </row>
    <row r="42" spans="1:6" ht="25.5">
      <c r="A42" s="88">
        <v>42</v>
      </c>
      <c r="B42" s="88" t="str">
        <f>HLOOKUP(Introduzione!$B$9,$C:$G,$A42,FALSE)</f>
      </c>
      <c r="C42" s="88" t="s">
        <v>172</v>
      </c>
      <c r="D42" s="88" t="s">
        <v>173</v>
      </c>
      <c r="E42" s="88" t="s">
        <v>174</v>
      </c>
      <c r="F42" s="88" t="s">
        <v>175</v>
      </c>
    </row>
    <row r="43" spans="1:6">
      <c r="A43" s="88">
        <v>43</v>
      </c>
      <c r="B43" s="88" t="str">
        <f>HLOOKUP(Introduzione!$B$9,$C:$G,$A43,FALSE)</f>
      </c>
      <c r="C43" s="88" t="s">
        <v>176</v>
      </c>
      <c r="D43" s="88" t="s">
        <v>177</v>
      </c>
      <c r="E43" s="88" t="s">
        <v>178</v>
      </c>
      <c r="F43" s="88" t="s">
        <v>179</v>
      </c>
    </row>
    <row r="44" spans="1:6" s="89" customFormat="1">
      <c r="A44" s="88">
        <v>44</v>
      </c>
      <c r="B44" s="88" t="str">
        <f>HLOOKUP(Introduzione!$B$9,$C:$G,$A44,FALSE)</f>
      </c>
      <c r="C44" s="89" t="str">
        <f>IF(OR('Le mie risposte'!D28="Ja",'Le mie risposte'!F28="Ja"),"Hoe hoog zijn deze inkomsten per maand?","")</f>
      </c>
      <c r="D44" s="89" t="str">
        <f>IF(OR('Le mie risposte'!D28=dropdowns!$B$2,'Le mie risposte'!F28=dropdowns!$B$2),"What is the extent of this income per month?","")</f>
      </c>
      <c r="E44" s="88" t="str">
        <f>IF(OR('Le mie risposte'!D28=dropdowns!$B$2,'Le mie risposte'!F28=dropdowns!$B$2),"¿A cuánto ascienden estos ingresos mensualmente?","")</f>
      </c>
      <c r="F44" s="88" t="str">
        <f>IF(OR('Le mie risposte'!D28=dropdowns!$B$2,'Le mie risposte'!F28=dropdowns!$B$2),"Qual è l'importo mensile di tali redditi?","")</f>
      </c>
    </row>
    <row r="45" spans="1:6" s="89" customFormat="1">
      <c r="A45" s="88">
        <v>45</v>
      </c>
      <c r="B45" s="88" t="str">
        <f>HLOOKUP(Introduzione!$B$9,$C:$G,$A45,FALSE)</f>
      </c>
      <c r="C45" s="89" t="str">
        <f>IF(OR('Le mie risposte'!D28="Ja",'Le mie risposte'!F28="Ja"),"Hoeveel van dat inkomen ontvangt je partner nog als je jouw bedrijf hebt opgestart?","")</f>
      </c>
      <c r="D45" s="89" t="str">
        <f>IF(OR('Le mie risposte'!D28=dropdowns!$B$2,'Le mie risposte'!F28=dropdowns!$B$2),"How much of this income will your partner still receive once you've started up your business?","")</f>
      </c>
      <c r="E45" s="88" t="str">
        <f>IF(OR('Le mie risposte'!D28=dropdowns!$B$2,'Le mie risposte'!F28=dropdowns!$B$2),"¿Qué importe de estos ingresos seguiría percibiendo el/los miembro/s de la unidad familiar una vez hayas iniciado tu negocio?","")</f>
      </c>
      <c r="F45" s="88" t="str">
        <f>IF(OR('Le mie risposte'!D28=dropdowns!$B$2,'Le mie risposte'!F28=dropdowns!$B$2),"Qual è la quota di tali redditi che il tuo partner riceverà ancora dopo che avrai avviato la tua azienda?","")</f>
      </c>
    </row>
    <row r="46" spans="1:6">
      <c r="A46" s="88">
        <v>46</v>
      </c>
      <c r="B46" s="88" t="str">
        <f>HLOOKUP(Introduzione!$B$9,$C:$G,$A46,FALSE)</f>
      </c>
      <c r="C46" s="88" t="s">
        <v>180</v>
      </c>
      <c r="D46" s="88" t="s">
        <v>181</v>
      </c>
      <c r="E46" s="88" t="s">
        <v>182</v>
      </c>
      <c r="F46" s="88" t="s">
        <v>183</v>
      </c>
    </row>
    <row r="47" spans="1:6">
      <c r="A47" s="88">
        <v>47</v>
      </c>
      <c r="B47" s="88" t="str">
        <f>HLOOKUP(Introduzione!$B$9,$C:$G,$A47,FALSE)</f>
      </c>
      <c r="C47" s="88" t="s">
        <v>184</v>
      </c>
      <c r="D47" s="88" t="s">
        <v>185</v>
      </c>
      <c r="E47" s="88" t="s">
        <v>186</v>
      </c>
      <c r="F47" s="88" t="s">
        <v>187</v>
      </c>
    </row>
    <row r="48" spans="1:6">
      <c r="A48" s="88">
        <v>48</v>
      </c>
      <c r="B48" s="88" t="str">
        <f>HLOOKUP(Introduzione!$B$9,$C:$G,$A48,FALSE)</f>
      </c>
      <c r="C48" s="88" t="s">
        <v>188</v>
      </c>
      <c r="D48" s="88" t="s">
        <v>189</v>
      </c>
      <c r="E48" s="88" t="s">
        <v>190</v>
      </c>
      <c r="F48" s="88" t="s">
        <v>191</v>
      </c>
    </row>
    <row r="49" spans="1:7">
      <c r="A49" s="88">
        <v>49</v>
      </c>
      <c r="B49" s="88" t="str">
        <f>HLOOKUP(Introduzione!$B$9,$C:$G,$A49,FALSE)</f>
      </c>
      <c r="C49" s="88" t="s">
        <v>192</v>
      </c>
      <c r="D49" s="88" t="s">
        <v>193</v>
      </c>
      <c r="E49" s="88" t="s">
        <v>194</v>
      </c>
      <c r="F49" s="88" t="s">
        <v>195</v>
      </c>
    </row>
    <row r="50" spans="1:7">
      <c r="A50" s="88">
        <v>50</v>
      </c>
      <c r="B50" s="88" t="str">
        <f>HLOOKUP(Introduzione!$B$9,$C:$G,$A50,FALSE)</f>
      </c>
      <c r="C50" s="88" t="s">
        <v>196</v>
      </c>
      <c r="D50" s="88" t="s">
        <v>197</v>
      </c>
      <c r="E50" s="88" t="s">
        <v>198</v>
      </c>
      <c r="F50" s="88" t="s">
        <v>1829</v>
      </c>
    </row>
    <row r="51" spans="1:7">
      <c r="A51" s="88">
        <v>51</v>
      </c>
      <c r="B51" s="88" t="str">
        <f>HLOOKUP(Introduzione!$B$9,$C:$G,$A51,FALSE)</f>
      </c>
      <c r="C51" s="88" t="s">
        <v>199</v>
      </c>
      <c r="D51" s="88" t="s">
        <v>200</v>
      </c>
      <c r="E51" s="88" t="s">
        <v>201</v>
      </c>
      <c r="F51" s="88" t="s">
        <v>202</v>
      </c>
    </row>
    <row r="52" spans="1:7">
      <c r="A52" s="88">
        <v>52</v>
      </c>
      <c r="B52" s="88" t="str">
        <f>HLOOKUP(Introduzione!$B$9,$C:$G,$A52,FALSE)</f>
      </c>
      <c r="C52" s="88" t="s">
        <v>203</v>
      </c>
      <c r="D52" s="88" t="s">
        <v>204</v>
      </c>
      <c r="E52" s="88" t="s">
        <v>205</v>
      </c>
      <c r="F52" s="88" t="s">
        <v>1830</v>
      </c>
    </row>
    <row r="53" spans="1:7">
      <c r="A53" s="88">
        <v>53</v>
      </c>
      <c r="B53" s="88" t="str">
        <f>HLOOKUP(Introduzione!$B$9,$C:$G,$A53,FALSE)</f>
      </c>
      <c r="C53" s="88" t="s">
        <v>206</v>
      </c>
      <c r="D53" s="88" t="s">
        <v>207</v>
      </c>
      <c r="E53" s="88" t="s">
        <v>208</v>
      </c>
      <c r="F53" s="88" t="s">
        <v>209</v>
      </c>
    </row>
    <row r="54" spans="1:7">
      <c r="A54" s="88">
        <v>54</v>
      </c>
      <c r="B54" s="88" t="str">
        <f>HLOOKUP(Introduzione!$B$9,$C:$G,$A54,FALSE)</f>
      </c>
      <c r="C54" s="88" t="s">
        <v>210</v>
      </c>
      <c r="D54" s="88" t="s">
        <v>211</v>
      </c>
      <c r="E54" s="88" t="s">
        <v>212</v>
      </c>
      <c r="F54" s="88" t="s">
        <v>1831</v>
      </c>
    </row>
    <row r="55" spans="1:7">
      <c r="A55" s="88">
        <v>55</v>
      </c>
      <c r="B55" s="88" t="str">
        <f>HLOOKUP(Introduzione!$B$9,$C:$G,$A55,FALSE)</f>
      </c>
      <c r="C55" s="88" t="s">
        <v>213</v>
      </c>
      <c r="D55" s="88" t="s">
        <v>214</v>
      </c>
      <c r="E55" s="88" t="s">
        <v>215</v>
      </c>
      <c r="F55" s="88" t="s">
        <v>1832</v>
      </c>
    </row>
    <row r="56" spans="1:7">
      <c r="A56" s="88">
        <v>56</v>
      </c>
      <c r="B56" s="88" t="str">
        <f>HLOOKUP(Introduzione!$B$9,$C:$G,$A56,FALSE)</f>
      </c>
      <c r="C56" s="88" t="s">
        <v>216</v>
      </c>
      <c r="D56" s="88" t="s">
        <v>217</v>
      </c>
      <c r="E56" s="88" t="s">
        <v>218</v>
      </c>
      <c r="F56" s="88" t="s">
        <v>219</v>
      </c>
    </row>
    <row r="57" spans="1:7">
      <c r="A57" s="88">
        <v>57</v>
      </c>
      <c r="B57" s="88" t="str">
        <f>HLOOKUP(Introduzione!$B$9,$C:$G,$A57,FALSE)</f>
      </c>
      <c r="C57" s="88" t="s">
        <v>220</v>
      </c>
      <c r="D57" s="88" t="s">
        <v>221</v>
      </c>
      <c r="E57" s="88" t="s">
        <v>222</v>
      </c>
      <c r="F57" s="88" t="s">
        <v>223</v>
      </c>
    </row>
    <row r="58" spans="1:7">
      <c r="A58" s="88">
        <v>58</v>
      </c>
      <c r="B58" s="88" t="str">
        <f>HLOOKUP(Introduzione!$B$9,$C:$G,$A58,FALSE)</f>
      </c>
      <c r="C58" s="88" t="s">
        <v>224</v>
      </c>
      <c r="D58" s="88" t="s">
        <v>225</v>
      </c>
      <c r="E58" s="88" t="s">
        <v>226</v>
      </c>
      <c r="F58" s="88" t="s">
        <v>227</v>
      </c>
    </row>
    <row r="59" spans="1:7">
      <c r="A59" s="88">
        <v>59</v>
      </c>
      <c r="B59" s="88" t="str">
        <f>HLOOKUP(Introduzione!$B$9,$C:$G,$A59,FALSE)</f>
      </c>
      <c r="C59" s="88" t="s">
        <v>228</v>
      </c>
      <c r="D59" s="88" t="s">
        <v>229</v>
      </c>
      <c r="E59" s="88" t="s">
        <v>230</v>
      </c>
      <c r="F59" s="88" t="s">
        <v>1823</v>
      </c>
    </row>
    <row r="60" spans="1:7">
      <c r="A60" s="88">
        <v>60</v>
      </c>
      <c r="B60" s="88" t="str">
        <f>HLOOKUP(Introduzione!$B$9,$C:$G,$A60,FALSE)</f>
      </c>
      <c r="C60" s="88" t="s">
        <v>231</v>
      </c>
      <c r="D60" s="88" t="s">
        <v>232</v>
      </c>
      <c r="E60" s="88" t="s">
        <v>233</v>
      </c>
      <c r="F60" s="88" t="s">
        <v>234</v>
      </c>
    </row>
    <row r="61" spans="1:7">
      <c r="A61" s="88">
        <v>61</v>
      </c>
      <c r="B61" s="88" t="str">
        <f>HLOOKUP(Introduzione!$B$9,$C:$G,$A61,FALSE)</f>
      </c>
      <c r="C61" s="88" t="s">
        <v>235</v>
      </c>
      <c r="D61" s="88" t="s">
        <v>236</v>
      </c>
      <c r="E61" s="88" t="s">
        <v>237</v>
      </c>
      <c r="F61" s="88" t="s">
        <v>238</v>
      </c>
    </row>
    <row r="62" spans="1:7">
      <c r="A62" s="88">
        <v>62</v>
      </c>
      <c r="B62" s="88" t="str">
        <f>HLOOKUP(Introduzione!$B$9,$C:$G,$A62,FALSE)</f>
      </c>
      <c r="C62" s="88" t="s">
        <v>239</v>
      </c>
      <c r="D62" s="88" t="s">
        <v>240</v>
      </c>
      <c r="E62" s="88" t="s">
        <v>241</v>
      </c>
      <c r="F62" s="88" t="s">
        <v>242</v>
      </c>
    </row>
    <row r="63" spans="1:7" ht="38.25">
      <c r="A63" s="88">
        <v>63</v>
      </c>
      <c r="B63" s="88" t="str">
        <f>HLOOKUP(Introduzione!$B$9,$C:$G,$A63,FALSE)</f>
      </c>
      <c r="C63" s="88" t="s">
        <v>243</v>
      </c>
      <c r="D63" s="88" t="s">
        <v>244</v>
      </c>
      <c r="E63" s="88" t="s">
        <v>245</v>
      </c>
      <c r="F63" s="358" t="s">
        <v>1856</v>
      </c>
    </row>
    <row r="64" spans="1:7">
      <c r="A64" s="88">
        <v>64</v>
      </c>
      <c r="B64" s="88" t="str">
        <f>HLOOKUP(Introduzione!$B$9,$C:$G,$A64,FALSE)</f>
      </c>
      <c r="C64" s="88" t="s">
        <v>1843</v>
      </c>
      <c r="D64" s="88" t="str">
        <f>IF('Le mie risposte'!$D$7="B.V.","What monthly income will you draw from the company?","")</f>
      </c>
      <c r="E64" s="88" t="s">
        <v>246</v>
      </c>
      <c r="F64" s="88" t="s">
        <v>247</v>
      </c>
      <c r="G64" s="348" t="s">
        <v>248</v>
      </c>
    </row>
    <row r="65" spans="1:6">
      <c r="A65" s="88">
        <v>65</v>
      </c>
      <c r="B65" s="88" t="str">
        <f>HLOOKUP(Introduzione!$B$9,$C:$G,$A65,FALSE)</f>
      </c>
      <c r="C65" s="88" t="str">
        <f>IF('Le mie risposte'!$D$7="B.V.","Vul het brutoloon in.",$C$147)</f>
      </c>
      <c r="D65" s="88" t="str">
        <f>IF('Le mie risposte'!$D$7="B.V.","Please fill in the gross salary.",$D$147)</f>
      </c>
      <c r="E65" s="88" t="s">
        <v>148</v>
      </c>
      <c r="F65" s="88" t="str">
        <f>IF('Le mie risposte'!$D$7=dropdowns!$B$176,"Inserisci la percentuale:","")</f>
      </c>
    </row>
    <row r="66" spans="1:6">
      <c r="A66" s="88">
        <v>66</v>
      </c>
      <c r="B66" s="88" t="str">
        <f>HLOOKUP(Introduzione!$B$9,$C:$G,$A66,FALSE)</f>
      </c>
      <c r="C66" s="88" t="s">
        <v>249</v>
      </c>
      <c r="D66" s="88" t="s">
        <v>250</v>
      </c>
      <c r="E66" s="88" t="s">
        <v>251</v>
      </c>
      <c r="F66" s="88" t="s">
        <v>252</v>
      </c>
    </row>
    <row r="67" spans="1:6">
      <c r="A67" s="88">
        <v>67</v>
      </c>
      <c r="B67" s="88" t="str">
        <f>HLOOKUP(Introduzione!$B$9,$C:$G,$A67,FALSE)</f>
      </c>
      <c r="C67" s="88" t="s">
        <v>253</v>
      </c>
      <c r="D67" s="88" t="s">
        <v>254</v>
      </c>
      <c r="E67" s="88" t="s">
        <v>255</v>
      </c>
      <c r="F67" s="88" t="s">
        <v>256</v>
      </c>
    </row>
    <row r="68" spans="1:6">
      <c r="A68" s="88">
        <v>68</v>
      </c>
      <c r="B68" s="88" t="str">
        <f>HLOOKUP(Introduzione!$B$9,$C:$G,$A68,FALSE)</f>
      </c>
      <c r="C68" s="88" t="s">
        <v>257</v>
      </c>
      <c r="D68" s="88" t="s">
        <v>258</v>
      </c>
      <c r="E68" s="88" t="s">
        <v>259</v>
      </c>
      <c r="F68" s="88" t="s">
        <v>260</v>
      </c>
    </row>
    <row r="69" spans="1:6">
      <c r="A69" s="88">
        <v>69</v>
      </c>
      <c r="B69" s="88" t="str">
        <f>HLOOKUP(Introduzione!$B$9,$C:$G,$A69,FALSE)</f>
      </c>
      <c r="C69" s="88" t="s">
        <v>261</v>
      </c>
      <c r="D69" s="88" t="s">
        <v>262</v>
      </c>
      <c r="E69" s="88" t="s">
        <v>263</v>
      </c>
      <c r="F69" s="88" t="s">
        <v>264</v>
      </c>
    </row>
    <row r="70" spans="1:6" ht="25.5">
      <c r="A70" s="88">
        <v>70</v>
      </c>
      <c r="B70" s="88" t="str">
        <f>HLOOKUP(Introduzione!$B$9,$C:$G,$A70,FALSE)</f>
      </c>
      <c r="C70" s="88" t="s">
        <v>265</v>
      </c>
      <c r="D70" s="88" t="s">
        <v>266</v>
      </c>
      <c r="E70" s="88" t="s">
        <v>267</v>
      </c>
      <c r="F70" s="88" t="s">
        <v>268</v>
      </c>
    </row>
    <row r="71" spans="1:6">
      <c r="A71" s="88">
        <v>71</v>
      </c>
      <c r="B71" s="88" t="str">
        <f>HLOOKUP(Introduzione!$B$9,$C:$G,$A71,FALSE)</f>
      </c>
      <c r="C71" s="88" t="s">
        <v>269</v>
      </c>
      <c r="D71" s="88" t="s">
        <v>270</v>
      </c>
      <c r="E71" s="88" t="s">
        <v>271</v>
      </c>
      <c r="F71" s="88" t="s">
        <v>272</v>
      </c>
    </row>
    <row r="72" spans="1:6">
      <c r="A72" s="88">
        <v>72</v>
      </c>
      <c r="B72" s="88" t="str">
        <f>HLOOKUP(Introduzione!$B$9,$C:$G,$A72,FALSE)</f>
      </c>
      <c r="C72" s="88" t="s">
        <v>273</v>
      </c>
      <c r="D72" s="88" t="s">
        <v>274</v>
      </c>
      <c r="E72" s="88" t="s">
        <v>275</v>
      </c>
      <c r="F72" s="88" t="s">
        <v>276</v>
      </c>
    </row>
    <row r="73" spans="1:6" ht="25.5">
      <c r="A73" s="88">
        <v>73</v>
      </c>
      <c r="B73" s="88" t="str">
        <f>HLOOKUP(Introduzione!$B$9,$C:$G,$A73,FALSE)</f>
      </c>
      <c r="C73" s="88" t="s">
        <v>277</v>
      </c>
      <c r="D73" s="88" t="s">
        <v>278</v>
      </c>
      <c r="E73" s="88" t="s">
        <v>279</v>
      </c>
      <c r="F73" s="88" t="s">
        <v>280</v>
      </c>
    </row>
    <row r="74" spans="1:6">
      <c r="A74" s="88">
        <v>74</v>
      </c>
      <c r="B74" s="88" t="str">
        <f>HLOOKUP(Introduzione!$B$9,$C:$G,$A74,FALSE)</f>
      </c>
      <c r="C74" s="88" t="s">
        <v>281</v>
      </c>
      <c r="D74" s="88" t="s">
        <v>282</v>
      </c>
      <c r="E74" s="88" t="s">
        <v>283</v>
      </c>
      <c r="F74" s="88" t="s">
        <v>1848</v>
      </c>
    </row>
    <row r="75" spans="1:6">
      <c r="A75" s="88">
        <v>75</v>
      </c>
      <c r="B75" s="88" t="str">
        <f>HLOOKUP(Introduzione!$B$9,$C:$G,$A75,FALSE)</f>
      </c>
      <c r="C75" s="88" t="s">
        <v>284</v>
      </c>
      <c r="D75" s="88" t="s">
        <v>285</v>
      </c>
      <c r="E75" s="88" t="s">
        <v>286</v>
      </c>
      <c r="F75" s="88" t="s">
        <v>287</v>
      </c>
    </row>
    <row r="76" spans="1:6">
      <c r="A76" s="88">
        <v>76</v>
      </c>
      <c r="B76" s="88" t="str">
        <f>HLOOKUP(Introduzione!$B$9,$C:$G,$A76,FALSE)</f>
      </c>
      <c r="C76" s="88" t="s">
        <v>288</v>
      </c>
      <c r="D76" s="88" t="s">
        <v>289</v>
      </c>
      <c r="E76" s="88" t="s">
        <v>290</v>
      </c>
      <c r="F76" s="88" t="s">
        <v>291</v>
      </c>
    </row>
    <row r="77" spans="1:6">
      <c r="A77" s="88">
        <v>77</v>
      </c>
      <c r="B77" s="88" t="str">
        <f>HLOOKUP(Introduzione!$B$9,$C:$G,$A77,FALSE)</f>
      </c>
      <c r="C77" s="88" t="s">
        <v>292</v>
      </c>
      <c r="D77" s="88" t="s">
        <v>293</v>
      </c>
      <c r="E77" s="88" t="s">
        <v>294</v>
      </c>
      <c r="F77" s="88" t="s">
        <v>295</v>
      </c>
    </row>
    <row r="78" spans="1:6">
      <c r="A78" s="88">
        <v>78</v>
      </c>
      <c r="B78" s="88" t="str">
        <f>HLOOKUP(Introduzione!$B$9,$C:$G,$A78,FALSE)</f>
      </c>
      <c r="C78" s="88" t="s">
        <v>296</v>
      </c>
      <c r="D78" s="88" t="s">
        <v>297</v>
      </c>
      <c r="E78" s="88" t="s">
        <v>298</v>
      </c>
      <c r="F78" s="88" t="s">
        <v>299</v>
      </c>
    </row>
    <row r="79" spans="1:6">
      <c r="A79" s="88">
        <v>79</v>
      </c>
      <c r="B79" s="88" t="str">
        <f>HLOOKUP(Introduzione!$B$9,$C:$G,$A79,FALSE)</f>
      </c>
      <c r="C79" s="88" t="s">
        <v>300</v>
      </c>
      <c r="D79" s="88" t="s">
        <v>301</v>
      </c>
      <c r="E79" s="88" t="s">
        <v>302</v>
      </c>
      <c r="F79" s="88" t="s">
        <v>303</v>
      </c>
    </row>
    <row r="80" spans="1:6">
      <c r="A80" s="88">
        <v>80</v>
      </c>
      <c r="B80" s="88" t="str">
        <f>HLOOKUP(Introduzione!$B$9,$C:$G,$A80,FALSE)</f>
      </c>
      <c r="C80" s="88" t="s">
        <v>304</v>
      </c>
      <c r="D80" s="88" t="s">
        <v>305</v>
      </c>
      <c r="E80" s="88" t="s">
        <v>306</v>
      </c>
      <c r="F80" s="88" t="s">
        <v>307</v>
      </c>
    </row>
    <row r="81" spans="1:6">
      <c r="A81" s="88">
        <v>81</v>
      </c>
      <c r="B81" s="88" t="str">
        <f>HLOOKUP(Introduzione!$B$9,$C:$G,$A81,FALSE)</f>
      </c>
      <c r="C81" s="88" t="s">
        <v>308</v>
      </c>
      <c r="D81" s="88" t="s">
        <v>309</v>
      </c>
      <c r="E81" s="88" t="s">
        <v>310</v>
      </c>
      <c r="F81" s="88" t="s">
        <v>311</v>
      </c>
    </row>
    <row r="82" spans="1:6">
      <c r="A82" s="88">
        <v>82</v>
      </c>
      <c r="B82" s="88" t="str">
        <f>HLOOKUP(Introduzione!$B$9,$C:$G,$A82,FALSE)</f>
      </c>
      <c r="C82" s="88" t="s">
        <v>312</v>
      </c>
      <c r="D82" s="88" t="s">
        <v>313</v>
      </c>
      <c r="E82" s="88" t="s">
        <v>314</v>
      </c>
      <c r="F82" s="88" t="s">
        <v>315</v>
      </c>
    </row>
    <row r="83" spans="1:6">
      <c r="A83" s="88">
        <v>83</v>
      </c>
      <c r="B83" s="88" t="str">
        <f>HLOOKUP(Introduzione!$B$9,$C:$G,$A83,FALSE)</f>
      </c>
      <c r="C83" s="88" t="s">
        <v>316</v>
      </c>
      <c r="D83" s="88" t="s">
        <v>317</v>
      </c>
      <c r="E83" s="88" t="s">
        <v>318</v>
      </c>
      <c r="F83" s="88" t="s">
        <v>319</v>
      </c>
    </row>
    <row r="84" spans="1:6">
      <c r="A84" s="88">
        <v>84</v>
      </c>
      <c r="B84" s="88" t="str">
        <f>HLOOKUP(Introduzione!$B$9,$C:$G,$A84,FALSE)</f>
      </c>
      <c r="C84" s="88" t="s">
        <v>320</v>
      </c>
      <c r="D84" s="88" t="s">
        <v>321</v>
      </c>
      <c r="E84" s="88" t="s">
        <v>322</v>
      </c>
      <c r="F84" s="88" t="s">
        <v>323</v>
      </c>
    </row>
    <row r="85" spans="1:6">
      <c r="A85" s="88">
        <v>85</v>
      </c>
      <c r="B85" s="88" t="str">
        <f>HLOOKUP(Introduzione!$B$9,$C:$G,$A85,FALSE)</f>
      </c>
      <c r="C85" s="88" t="s">
        <v>324</v>
      </c>
      <c r="D85" s="88" t="s">
        <v>325</v>
      </c>
      <c r="E85" s="88" t="s">
        <v>326</v>
      </c>
      <c r="F85" s="88" t="s">
        <v>327</v>
      </c>
    </row>
    <row r="86" spans="1:6">
      <c r="A86" s="88">
        <v>86</v>
      </c>
      <c r="B86" s="88" t="str">
        <f>HLOOKUP(Introduzione!$B$9,$C:$G,$A86,FALSE)</f>
      </c>
      <c r="C86" s="88" t="s">
        <v>328</v>
      </c>
      <c r="D86" s="88" t="s">
        <v>328</v>
      </c>
      <c r="E86" s="88" t="s">
        <v>329</v>
      </c>
      <c r="F86" s="88" t="s">
        <v>330</v>
      </c>
    </row>
    <row r="87" spans="1:6" ht="25.5">
      <c r="A87" s="88">
        <v>87</v>
      </c>
      <c r="B87" s="88" t="str">
        <f>HLOOKUP(Introduzione!$B$9,$C:$G,$A87,FALSE)</f>
      </c>
      <c r="C87" s="88" t="s">
        <v>331</v>
      </c>
      <c r="D87" s="88" t="s">
        <v>332</v>
      </c>
      <c r="E87" s="88" t="s">
        <v>333</v>
      </c>
      <c r="F87" s="88" t="s">
        <v>334</v>
      </c>
    </row>
    <row r="88" spans="1:6" ht="25.5">
      <c r="A88" s="88">
        <v>88</v>
      </c>
      <c r="B88" s="88" t="str">
        <f>HLOOKUP(Introduzione!$B$9,$C:$G,$A88,FALSE)</f>
      </c>
      <c r="C88" s="88" t="s">
        <v>335</v>
      </c>
      <c r="D88" s="88" t="s">
        <v>336</v>
      </c>
      <c r="E88" s="88" t="s">
        <v>337</v>
      </c>
      <c r="F88" s="88" t="s">
        <v>1866</v>
      </c>
    </row>
    <row r="89" spans="1:6">
      <c r="A89" s="88">
        <v>89</v>
      </c>
      <c r="B89" s="88" t="str">
        <f>HLOOKUP(Introduzione!$B$9,$C:$G,$A89,FALSE)</f>
      </c>
      <c r="C89" s="88" t="s">
        <v>339</v>
      </c>
      <c r="D89" s="88" t="s">
        <v>340</v>
      </c>
      <c r="E89" s="88" t="s">
        <v>341</v>
      </c>
      <c r="F89" s="88" t="s">
        <v>1833</v>
      </c>
    </row>
    <row r="90" spans="1:6">
      <c r="A90" s="88">
        <v>90</v>
      </c>
      <c r="B90" s="88" t="str">
        <f>HLOOKUP(Introduzione!$B$9,$C:$G,$A90,FALSE)</f>
      </c>
      <c r="C90" s="88" t="s">
        <v>342</v>
      </c>
      <c r="D90" s="88" t="s">
        <v>343</v>
      </c>
      <c r="E90" s="88" t="s">
        <v>344</v>
      </c>
      <c r="F90" s="88" t="s">
        <v>345</v>
      </c>
    </row>
    <row r="91" spans="1:6">
      <c r="A91" s="88">
        <v>91</v>
      </c>
      <c r="B91" s="88" t="str">
        <f>HLOOKUP(Introduzione!$B$9,$C:$G,$A91,FALSE)</f>
      </c>
      <c r="C91" s="88" t="s">
        <v>346</v>
      </c>
      <c r="D91" s="88" t="s">
        <v>347</v>
      </c>
      <c r="E91" s="88" t="s">
        <v>348</v>
      </c>
      <c r="F91" s="88" t="s">
        <v>349</v>
      </c>
    </row>
    <row r="92" spans="1:6">
      <c r="A92" s="88">
        <v>92</v>
      </c>
      <c r="B92" s="88" t="str">
        <f>HLOOKUP(Introduzione!$B$9,$C:$G,$A92,FALSE)</f>
      </c>
      <c r="C92" s="88" t="s">
        <v>350</v>
      </c>
      <c r="D92" s="88" t="s">
        <v>351</v>
      </c>
      <c r="E92" s="88" t="s">
        <v>352</v>
      </c>
      <c r="F92" s="88" t="s">
        <v>353</v>
      </c>
    </row>
    <row r="93" spans="1:6" s="89" customFormat="1">
      <c r="A93" s="88">
        <v>93</v>
      </c>
      <c r="B93" s="88" t="str">
        <f>HLOOKUP(Introduzione!$B$9,$C:$G,$A93,FALSE)</f>
      </c>
      <c r="C93" s="89" t="str">
        <f>IF('Le mie risposte'!$F$123&gt;0,"a. Hoeveel rente betaal je hiervoor per maand?","")</f>
      </c>
      <c r="D93" s="89" t="str">
        <f>IF('Le mie risposte'!$F$123&gt;0,"a. How much will you pay for interest?","")</f>
      </c>
      <c r="E93" s="88" t="str">
        <f>IF('Le mie risposte'!$F$123&gt;0," a. ¿A cuánto ascenderán los intereses?","")</f>
      </c>
      <c r="F93" s="88" t="str">
        <f>IF('Le mie risposte'!$F$123&gt;0," a. Qual è l'importo degli interessi mensili?","")</f>
      </c>
    </row>
    <row r="94" spans="1:6" s="89" customFormat="1">
      <c r="A94" s="88">
        <v>94</v>
      </c>
      <c r="B94" s="88" t="str">
        <f>HLOOKUP(Introduzione!$B$9,$C:$G,$A94,FALSE)</f>
      </c>
      <c r="C94" s="89" t="str">
        <f>IF('Le mie risposte'!$F$123&gt;0,"b. Hoeveel moet je per maand terugbetalen (aflossen)?","")</f>
      </c>
      <c r="D94" s="89" t="str">
        <f>IF('Le mie risposte'!$F$123&gt;0,"b. How much will you repay (pay off) per month?","")</f>
      </c>
      <c r="E94" s="88" t="str">
        <f>IF('Le mie risposte'!$F$123&gt;0," b. ¿Cuánto pagarás mensualmente (excluyendo intereses)?","")</f>
      </c>
      <c r="F94" s="88" t="str">
        <f>IF('Le mie risposte'!$F$123&gt;0," b. Qual è l'importo mensile che devi restituire (rimborsare)?","")</f>
      </c>
    </row>
    <row r="95" spans="1:6" s="89" customFormat="1">
      <c r="A95" s="88">
        <v>95</v>
      </c>
      <c r="B95" s="88" t="str">
        <f>HLOOKUP(Introduzione!$B$9,$C:$G,$A95,FALSE)</f>
      </c>
      <c r="C95" s="89" t="str">
        <f>IF('Le mie risposte'!$F$123&gt;0,"c. Wanneer begin je met aflossen?","")</f>
      </c>
      <c r="D95" s="89" t="str">
        <f>IF('Le mie risposte'!$F$123&gt;0,"c. When will you start paying off the loans?","")</f>
      </c>
      <c r="E95" s="88" t="str">
        <f>IF('Le mie risposte'!$F$123&gt;0," c. ¿Cuándo empezarás a devolver los préstamos?","")</f>
      </c>
      <c r="F95" s="88" t="str">
        <f>IF('Le mie risposte'!$F$123&gt;0," c. Quando inizierai a rimborsare?","")</f>
      </c>
    </row>
    <row r="96" spans="1:6">
      <c r="A96" s="88">
        <v>96</v>
      </c>
      <c r="B96" s="88" t="str">
        <f>HLOOKUP(Introduzione!$B$9,$C:$G,$A96,FALSE)</f>
      </c>
      <c r="C96" s="88" t="s">
        <v>354</v>
      </c>
      <c r="D96" s="88" t="s">
        <v>355</v>
      </c>
      <c r="E96" s="88" t="s">
        <v>356</v>
      </c>
      <c r="F96" s="88" t="s">
        <v>357</v>
      </c>
    </row>
    <row r="97" spans="1:6" s="89" customFormat="1">
      <c r="A97" s="88">
        <v>97</v>
      </c>
      <c r="B97" s="88" t="str">
        <f>HLOOKUP(Introduzione!$B$9,$C:$G,$A97,FALSE)</f>
      </c>
      <c r="C97" s="89" t="str">
        <f>IF('Le mie risposte'!$F$131&gt;0,"a. Hoeveel rente betaal je hiervoor per maand?","")</f>
      </c>
      <c r="D97" s="89" t="str">
        <f>IF('Le mie risposte'!$F$131&gt;0,"a. How much will you pay for interest?","")</f>
      </c>
      <c r="E97" s="88" t="str">
        <f>IF('Le mie risposte'!$F$131&gt;0," a. ¿A cuánto ascenderán los intereses?","")</f>
      </c>
      <c r="F97" s="88" t="str">
        <f>IF('Le mie risposte'!$F$131&gt;0," a. Qual è l'importo degli interessi mensili?","")</f>
      </c>
    </row>
    <row r="98" spans="1:6" s="89" customFormat="1">
      <c r="A98" s="88">
        <v>98</v>
      </c>
      <c r="B98" s="88" t="str">
        <f>HLOOKUP(Introduzione!$B$9,$C:$G,$A98,FALSE)</f>
      </c>
      <c r="C98" s="89" t="str">
        <f>IF('Le mie risposte'!$F$131&gt;0,"b. Hoeveel moet je per maand terugbetalen (aflossen)?","")</f>
      </c>
      <c r="D98" s="89" t="str">
        <f>IF('Le mie risposte'!$F$131&gt;0,"b. How much will you repay (pay off) per month?","")</f>
      </c>
      <c r="E98" s="88" t="str">
        <f>IF('Le mie risposte'!$F$131&gt;0," b. ¿Cuánto pagarás mensualmente (excluyendo intereses)?","")</f>
      </c>
      <c r="F98" s="88" t="str">
        <f>IF('Le mie risposte'!$F$131&gt;0," b. Qual è l'importo mensile che devi restituire (rimborsare)?","")</f>
      </c>
    </row>
    <row r="99" spans="1:6" s="89" customFormat="1">
      <c r="A99" s="88">
        <v>99</v>
      </c>
      <c r="B99" s="88" t="str">
        <f>HLOOKUP(Introduzione!$B$9,$C:$G,$A99,FALSE)</f>
      </c>
      <c r="C99" s="89" t="str">
        <f>IF('Le mie risposte'!$F$131&gt;0,"c. Wanneer begin je met aflossen?","")</f>
      </c>
      <c r="D99" s="89" t="str">
        <f>IF('Le mie risposte'!$F$131&gt;0,"c. When will you start paying off the loans?","")</f>
      </c>
      <c r="E99" s="88" t="str">
        <f>IF('Le mie risposte'!$F$131&gt;0," c. ¿Cuándo empezarás a devolver los préstamos?","")</f>
      </c>
      <c r="F99" s="88" t="str">
        <f>IF('Le mie risposte'!$F$131&gt;0," c. Quando inizierai a rimborsare?","")</f>
      </c>
    </row>
    <row r="100" spans="1:6">
      <c r="A100" s="88">
        <v>100</v>
      </c>
      <c r="B100" s="88" t="str">
        <f>HLOOKUP(Introduzione!$B$9,$C:$G,$A100,FALSE)</f>
      </c>
      <c r="C100" s="88" t="s">
        <v>358</v>
      </c>
      <c r="D100" s="88" t="s">
        <v>359</v>
      </c>
      <c r="E100" s="88" t="s">
        <v>360</v>
      </c>
      <c r="F100" s="88" t="s">
        <v>1846</v>
      </c>
    </row>
    <row r="101" spans="1:6">
      <c r="A101" s="88">
        <v>101</v>
      </c>
      <c r="B101" s="88" t="str">
        <f>HLOOKUP(Introduzione!$B$9,$C:$G,$A101,FALSE)</f>
      </c>
      <c r="C101" s="88" t="s">
        <v>361</v>
      </c>
      <c r="D101" s="88" t="s">
        <v>362</v>
      </c>
      <c r="E101" s="88" t="s">
        <v>363</v>
      </c>
      <c r="F101" s="88" t="s">
        <v>364</v>
      </c>
    </row>
    <row r="102" spans="1:6" ht="25.5">
      <c r="A102" s="88">
        <v>102</v>
      </c>
      <c r="B102" s="88" t="str">
        <f>HLOOKUP(Introduzione!$B$9,$C:$G,$A102,FALSE)</f>
      </c>
      <c r="C102" s="88" t="s">
        <v>365</v>
      </c>
      <c r="D102" s="88" t="s">
        <v>366</v>
      </c>
      <c r="E102" s="88" t="s">
        <v>367</v>
      </c>
      <c r="F102" s="88" t="s">
        <v>1847</v>
      </c>
    </row>
    <row r="103" spans="1:6" s="89" customFormat="1">
      <c r="A103" s="88">
        <v>103</v>
      </c>
      <c r="B103" s="88" t="str">
        <f>HLOOKUP(Introduzione!$B$9,$C:$G,$A103,FALSE)</f>
      </c>
      <c r="C103" s="89" t="str">
        <f>IF('Le mie risposte'!$F$142&gt;0," - Vanaf wanneer heb je deze kosten?","")</f>
      </c>
      <c r="D103" s="89" t="str">
        <f>IF('Le mie risposte'!$F$142&gt;0," - From when will you incur these costs?","")</f>
      </c>
      <c r="E103" s="88" t="str">
        <f>IF('Le mie risposte'!$F$142&gt;0," - ¿Cuándo surgirán estos gastos?","")</f>
      </c>
      <c r="F103" s="88" t="str">
        <f>IF('Le mie risposte'!$F$142&gt;0," - A partire da quando dovrai sostenere questi costi?","")</f>
      </c>
    </row>
    <row r="104" spans="1:6">
      <c r="A104" s="88">
        <v>104</v>
      </c>
      <c r="B104" s="88" t="str">
        <f>HLOOKUP(Introduzione!$B$9,$C:$G,$A104,FALSE)</f>
      </c>
      <c r="C104" s="88" t="s">
        <v>368</v>
      </c>
      <c r="D104" s="88" t="s">
        <v>369</v>
      </c>
      <c r="E104" s="88" t="s">
        <v>370</v>
      </c>
      <c r="F104" s="88" t="s">
        <v>371</v>
      </c>
    </row>
    <row r="105" spans="1:6" s="89" customFormat="1">
      <c r="A105" s="88">
        <v>105</v>
      </c>
      <c r="B105" s="88" t="str">
        <f>HLOOKUP(Introduzione!$B$9,$C:$G,$A105,FALSE)</f>
      </c>
      <c r="C105" s="89" t="str">
        <f>IF('Le mie risposte'!$F$146&gt;0," - Vanaf wanneer heb je deze kosten?","")</f>
      </c>
      <c r="D105" s="89" t="str">
        <f>IF('Le mie risposte'!$F$146&gt;0," - From when will you incur these costs?","")</f>
      </c>
      <c r="E105" s="88" t="str">
        <f>IF('Le mie risposte'!$F$146&gt;0," - ¿A partir de cuándo harás frente a estos gastos?","")</f>
      </c>
      <c r="F105" s="88" t="str">
        <f>IF('Le mie risposte'!$F$146&gt;0," - A partire da quando dovrai sostenere questi costi?","")</f>
      </c>
    </row>
    <row r="106" spans="1:6" ht="25.5">
      <c r="A106" s="88">
        <v>106</v>
      </c>
      <c r="B106" s="88" t="str">
        <f>HLOOKUP(Introduzione!$B$9,$C:$G,$A106,FALSE)</f>
      </c>
      <c r="C106" s="88" t="s">
        <v>372</v>
      </c>
      <c r="D106" s="88" t="s">
        <v>373</v>
      </c>
      <c r="E106" s="88" t="s">
        <v>374</v>
      </c>
      <c r="F106" s="88" t="s">
        <v>375</v>
      </c>
    </row>
    <row r="107" spans="1:6" ht="25.5">
      <c r="A107" s="88">
        <v>107</v>
      </c>
      <c r="B107" s="88" t="str">
        <f>HLOOKUP(Introduzione!$B$9,$C:$G,$A107,FALSE)</f>
      </c>
      <c r="C107" s="88" t="s">
        <v>376</v>
      </c>
      <c r="D107" s="88" t="s">
        <v>377</v>
      </c>
      <c r="E107" s="88" t="s">
        <v>378</v>
      </c>
      <c r="F107" s="88" t="s">
        <v>379</v>
      </c>
    </row>
    <row r="108" spans="1:6">
      <c r="A108" s="88">
        <v>108</v>
      </c>
      <c r="B108" s="88" t="str">
        <f>HLOOKUP(Introduzione!$B$9,$C:$G,$A108,FALSE)</f>
      </c>
      <c r="C108" s="88" t="s">
        <v>380</v>
      </c>
      <c r="D108" s="88" t="s">
        <v>381</v>
      </c>
      <c r="E108" s="88" t="s">
        <v>382</v>
      </c>
      <c r="F108" s="88" t="s">
        <v>383</v>
      </c>
    </row>
    <row r="109" spans="1:6">
      <c r="A109" s="88">
        <v>109</v>
      </c>
      <c r="B109" s="88" t="str">
        <f>HLOOKUP(Introduzione!$B$9,$C:$G,$A109,FALSE)</f>
      </c>
      <c r="C109" s="88" t="s">
        <v>384</v>
      </c>
      <c r="D109" s="88" t="s">
        <v>385</v>
      </c>
      <c r="E109" s="88" t="s">
        <v>386</v>
      </c>
      <c r="F109" s="88" t="s">
        <v>387</v>
      </c>
    </row>
    <row r="110" spans="1:6">
      <c r="A110" s="88">
        <v>110</v>
      </c>
      <c r="B110" s="88" t="str">
        <f>HLOOKUP(Introduzione!$B$9,$C:$G,$A110,FALSE)</f>
      </c>
      <c r="C110" s="88" t="s">
        <v>388</v>
      </c>
      <c r="D110" s="88" t="s">
        <v>389</v>
      </c>
      <c r="E110" s="88" t="s">
        <v>390</v>
      </c>
      <c r="F110" s="88" t="s">
        <v>391</v>
      </c>
    </row>
    <row r="111" spans="1:6" ht="25.5">
      <c r="A111" s="88">
        <v>111</v>
      </c>
      <c r="B111" s="88" t="str">
        <f>HLOOKUP(Introduzione!$B$9,$C:$G,$A111,FALSE)</f>
      </c>
      <c r="C111" s="88" t="s">
        <v>392</v>
      </c>
      <c r="D111" s="88" t="s">
        <v>393</v>
      </c>
      <c r="E111" s="88" t="s">
        <v>394</v>
      </c>
      <c r="F111" s="88" t="s">
        <v>395</v>
      </c>
    </row>
    <row r="112" spans="1:6">
      <c r="A112" s="88">
        <v>112</v>
      </c>
      <c r="B112" s="88" t="str">
        <f>HLOOKUP(Introduzione!$B$9,$C:$G,$A112,FALSE)</f>
      </c>
      <c r="C112" s="88" t="s">
        <v>396</v>
      </c>
      <c r="D112" s="88" t="s">
        <v>397</v>
      </c>
      <c r="E112" s="88" t="s">
        <v>398</v>
      </c>
      <c r="F112" s="88" t="s">
        <v>399</v>
      </c>
    </row>
    <row r="113" spans="1:6">
      <c r="A113" s="88">
        <v>113</v>
      </c>
      <c r="B113" s="88" t="str">
        <f>HLOOKUP(Introduzione!$B$9,$C:$G,$A113,FALSE)</f>
      </c>
      <c r="C113" s="88" t="s">
        <v>400</v>
      </c>
      <c r="D113" s="88" t="s">
        <v>401</v>
      </c>
      <c r="E113" s="88" t="s">
        <v>402</v>
      </c>
      <c r="F113" s="88" t="s">
        <v>403</v>
      </c>
    </row>
    <row r="114" spans="1:6">
      <c r="A114" s="88">
        <v>114</v>
      </c>
      <c r="B114" s="88" t="str">
        <f>HLOOKUP(Introduzione!$B$9,$C:$G,$A114,FALSE)</f>
      </c>
      <c r="C114" s="88" t="s">
        <v>404</v>
      </c>
      <c r="D114" s="88" t="s">
        <v>405</v>
      </c>
      <c r="E114" s="88" t="s">
        <v>406</v>
      </c>
      <c r="F114" s="88" t="s">
        <v>407</v>
      </c>
    </row>
    <row r="115" spans="1:6" ht="25.5">
      <c r="A115" s="88">
        <v>115</v>
      </c>
      <c r="B115" s="88" t="str">
        <f>HLOOKUP(Introduzione!$B$9,$C:$G,$A115,FALSE)</f>
      </c>
      <c r="C115" s="88" t="s">
        <v>408</v>
      </c>
      <c r="D115" s="88" t="s">
        <v>409</v>
      </c>
      <c r="E115" s="88" t="s">
        <v>410</v>
      </c>
      <c r="F115" s="88" t="s">
        <v>411</v>
      </c>
    </row>
    <row r="116" spans="1:6" s="89" customFormat="1" ht="38.25">
      <c r="A116" s="88">
        <v>116</v>
      </c>
      <c r="B116" s="88" t="str">
        <f>HLOOKUP(Introduzione!$B$9,$C:$G,$A116,FALSE)</f>
      </c>
      <c r="C116" s="89" t="str">
        <f>IF(OR('Le mie risposte'!$D$165="Ja",'Le mie risposte'!$F$165="Ja"),"Hoeveel procent van je omzet betaal je voor de inkoop?","")</f>
      </c>
      <c r="D116" s="89" t="str">
        <f>IF(OR('Le mie risposte'!$D$165=dropdowns!$B$2,'Le mie risposte'!$F$165=dropdowns!$B$2),"What percentage of your revenue do you pay for the purchase?","")</f>
      </c>
      <c r="E116" s="88" t="str">
        <f>IF(OR('Le mie risposte'!$D$165=dropdowns!$B$2,'Le mie risposte'!$F$165=dropdowns!$B$2),"¿Cuánto representarán, en porcentaje, las compras sobre las ventas? Ej: Ventas 100€, Compras 25€ = 25% (75% es el Margen Bruto de Ventas)","")</f>
      </c>
      <c r="F116" s="88" t="str">
        <f>IF(OR('Le mie risposte'!$D$165=dropdowns!$B$2,'Le mie risposte'!$F$165=dropdowns!$B$2),"Qual è la percentuale del fatturato che dovrai destinare agli acquisti? Per chi rientra nel regime forfettario si prega di aggiungere l’IVA alla percentuale stimata del fatturato (e.g. % fatturato pari al 40% e IVA acquisti al 22%, % da inserire: 48,80%)","")</f>
      </c>
    </row>
    <row r="117" spans="1:6" s="89" customFormat="1">
      <c r="A117" s="88">
        <v>117</v>
      </c>
      <c r="B117" s="88" t="str">
        <f>HLOOKUP(Introduzione!$B$9,$C:$G,$A117,FALSE)</f>
      </c>
      <c r="C117" s="89" t="str">
        <f>IF(OR('Le mie risposte'!$D$165="Ja",'Le mie risposte'!$F$165="Ja"),"Welk BTW tarief is van toepassing op de inkoopprijs?","")</f>
      </c>
      <c r="D117" s="89" t="str">
        <f>IF(OR('Le mie risposte'!$D$165=dropdowns!$B$2,'Le mie risposte'!$F$165=dropdowns!$B$2),"What BTW rate applies to the purchase price?","")</f>
      </c>
      <c r="E117" s="88" t="str">
        <f>IF(OR('Le mie risposte'!$D$165=dropdowns!$B$2,'Le mie risposte'!$F$165=dropdowns!$B$2),"¿Qué IVA aplica al precio de compra?","")</f>
      </c>
      <c r="F117" s="88" t="str">
        <f>IF(OR('Le mie risposte'!$D$165=dropdowns!$B$2,'Le mie risposte'!$F$165=dropdowns!$B$2),"Quale aliquota IVA si applica al prezzo di acquisto?","")</f>
      </c>
    </row>
    <row r="118" spans="1:6" s="89" customFormat="1">
      <c r="A118" s="88">
        <v>118</v>
      </c>
      <c r="B118" s="88" t="str">
        <f>HLOOKUP(Introduzione!$B$9,$C:$G,$A118,FALSE)</f>
      </c>
      <c r="C118" s="89" t="str">
        <f>IF(OR('Le mie risposte'!$D$165="Ja",'Le mie risposte'!$F$165="Ja"),"Wanneer moet je je leveranciers betalen (i.v.m. inkoop)?","")</f>
      </c>
      <c r="D118" s="89" t="str">
        <f>IF(OR('Le mie risposte'!$D$165=dropdowns!$B$2,'Le mie risposte'!$F$165=dropdowns!$B$2)," When do you need to pay your suppliers (for your purchases)?","")</f>
      </c>
      <c r="E118" s="88" t="str">
        <f>IF(OR('Le mie risposte'!$D$165=dropdowns!$B$2,'Le mie risposte'!$F$165=dropdowns!$B$2),"¿Cuándo tienes que pagar a los proveedores?","")</f>
      </c>
      <c r="F118" s="88" t="str">
        <f>IF(OR('Le mie risposte'!$D$165=dropdowns!$B$2,'Le mie risposte'!$F$165=dropdowns!$B$2),"Quando devi pagare i tuoi fornitori (per gli acquisti)?","")</f>
      </c>
    </row>
    <row r="119" spans="1:6">
      <c r="A119" s="88">
        <v>119</v>
      </c>
      <c r="B119" s="88" t="str">
        <f>HLOOKUP(Introduzione!$B$9,$C:$G,$A119,FALSE)</f>
      </c>
      <c r="C119" s="88" t="s">
        <v>412</v>
      </c>
      <c r="D119" s="88" t="s">
        <v>413</v>
      </c>
      <c r="E119" s="88" t="s">
        <v>414</v>
      </c>
      <c r="F119" s="88" t="s">
        <v>415</v>
      </c>
    </row>
    <row r="120" spans="1:6">
      <c r="A120" s="88">
        <v>120</v>
      </c>
      <c r="B120" s="88" t="str">
        <f>HLOOKUP(Introduzione!$B$9,$C:$G,$A120,FALSE)</f>
      </c>
      <c r="C120" s="88" t="s">
        <v>416</v>
      </c>
      <c r="D120" s="88" t="s">
        <v>417</v>
      </c>
      <c r="E120" s="88" t="s">
        <v>418</v>
      </c>
      <c r="F120" s="88" t="s">
        <v>419</v>
      </c>
    </row>
    <row r="121" spans="1:6">
      <c r="A121" s="88">
        <v>121</v>
      </c>
      <c r="B121" s="88" t="str">
        <f>HLOOKUP(Introduzione!$B$9,$C:$G,$A121,FALSE)</f>
      </c>
      <c r="C121" s="88" t="s">
        <v>420</v>
      </c>
      <c r="D121" s="88" t="s">
        <v>421</v>
      </c>
      <c r="E121" s="88" t="s">
        <v>422</v>
      </c>
      <c r="F121" s="88" t="s">
        <v>423</v>
      </c>
    </row>
    <row r="122" spans="1:6">
      <c r="A122" s="88">
        <v>122</v>
      </c>
      <c r="B122" s="88" t="str">
        <f>HLOOKUP(Introduzione!$B$9,$C:$G,$A122,FALSE)</f>
      </c>
      <c r="C122" s="88" t="s">
        <v>424</v>
      </c>
      <c r="D122" s="88" t="s">
        <v>425</v>
      </c>
      <c r="E122" s="88" t="s">
        <v>426</v>
      </c>
      <c r="F122" s="88" t="s">
        <v>427</v>
      </c>
    </row>
    <row r="123" spans="1:6">
      <c r="A123" s="88">
        <v>123</v>
      </c>
      <c r="B123" s="88" t="str">
        <f>HLOOKUP(Introduzione!$B$9,$C:$G,$A123,FALSE)</f>
      </c>
      <c r="C123" s="88" t="s">
        <v>428</v>
      </c>
      <c r="D123" s="88" t="s">
        <v>429</v>
      </c>
      <c r="E123" s="88" t="s">
        <v>430</v>
      </c>
      <c r="F123" s="88" t="s">
        <v>431</v>
      </c>
    </row>
    <row r="124" spans="1:6">
      <c r="A124" s="88">
        <v>124</v>
      </c>
      <c r="B124" s="88" t="str">
        <f>HLOOKUP(Introduzione!$B$9,$C:$G,$A124,FALSE)</f>
      </c>
      <c r="C124" s="88" t="s">
        <v>9</v>
      </c>
      <c r="D124" s="88" t="s">
        <v>432</v>
      </c>
      <c r="E124" s="88" t="s">
        <v>433</v>
      </c>
      <c r="F124" s="88" t="s">
        <v>434</v>
      </c>
    </row>
    <row r="125" spans="1:6">
      <c r="A125" s="88">
        <v>125</v>
      </c>
      <c r="B125" s="88" t="str">
        <f>HLOOKUP(Introduzione!$B$9,$C:$G,$A125,FALSE)</f>
      </c>
      <c r="C125" s="88" t="s">
        <v>11</v>
      </c>
      <c r="D125" s="88" t="s">
        <v>435</v>
      </c>
      <c r="E125" s="88" t="s">
        <v>436</v>
      </c>
      <c r="F125" s="88" t="s">
        <v>437</v>
      </c>
    </row>
    <row r="126" spans="1:6">
      <c r="A126" s="88">
        <v>126</v>
      </c>
      <c r="B126" s="88" t="str">
        <f>HLOOKUP(Introduzione!$B$9,$C:$G,$A126,FALSE)</f>
      </c>
      <c r="C126" s="88" t="s">
        <v>12</v>
      </c>
      <c r="D126" s="88" t="s">
        <v>438</v>
      </c>
      <c r="E126" s="88" t="s">
        <v>439</v>
      </c>
      <c r="F126" s="88" t="s">
        <v>440</v>
      </c>
    </row>
    <row r="127" spans="1:6">
      <c r="A127" s="88">
        <v>127</v>
      </c>
      <c r="B127" s="88" t="str">
        <f>HLOOKUP(Introduzione!$B$9,$C:$G,$A127,FALSE)</f>
      </c>
      <c r="C127" s="88" t="s">
        <v>13</v>
      </c>
      <c r="D127" s="88" t="s">
        <v>441</v>
      </c>
      <c r="E127" s="88" t="s">
        <v>442</v>
      </c>
      <c r="F127" s="88" t="s">
        <v>443</v>
      </c>
    </row>
    <row r="128" spans="1:6">
      <c r="A128" s="88">
        <v>128</v>
      </c>
      <c r="B128" s="88" t="str">
        <f>HLOOKUP(Introduzione!$B$9,$C:$G,$A128,FALSE)</f>
      </c>
      <c r="C128" s="88" t="s">
        <v>14</v>
      </c>
      <c r="D128" s="88" t="s">
        <v>444</v>
      </c>
      <c r="E128" s="88" t="s">
        <v>445</v>
      </c>
      <c r="F128" s="88" t="s">
        <v>446</v>
      </c>
    </row>
    <row r="129" spans="1:6">
      <c r="A129" s="88">
        <v>129</v>
      </c>
      <c r="B129" s="88" t="str">
        <f>HLOOKUP(Introduzione!$B$9,$C:$G,$A129,FALSE)</f>
      </c>
      <c r="C129" s="88" t="s">
        <v>15</v>
      </c>
      <c r="D129" s="88" t="s">
        <v>447</v>
      </c>
      <c r="E129" s="88" t="s">
        <v>448</v>
      </c>
      <c r="F129" s="88" t="s">
        <v>449</v>
      </c>
    </row>
    <row r="130" spans="1:6">
      <c r="A130" s="88">
        <v>130</v>
      </c>
      <c r="B130" s="88" t="str">
        <f>HLOOKUP(Introduzione!$B$9,$C:$G,$A130,FALSE)</f>
      </c>
      <c r="C130" s="88" t="s">
        <v>16</v>
      </c>
      <c r="D130" s="88" t="s">
        <v>450</v>
      </c>
      <c r="E130" s="88" t="s">
        <v>451</v>
      </c>
      <c r="F130" s="88" t="s">
        <v>452</v>
      </c>
    </row>
    <row r="131" spans="1:6">
      <c r="A131" s="88">
        <v>131</v>
      </c>
      <c r="B131" s="88" t="str">
        <f>HLOOKUP(Introduzione!$B$9,$C:$G,$A131,FALSE)</f>
      </c>
      <c r="C131" s="88" t="s">
        <v>17</v>
      </c>
      <c r="D131" s="88" t="s">
        <v>453</v>
      </c>
      <c r="E131" s="88" t="s">
        <v>454</v>
      </c>
      <c r="F131" s="88" t="s">
        <v>455</v>
      </c>
    </row>
    <row r="132" spans="1:6">
      <c r="A132" s="88">
        <v>132</v>
      </c>
      <c r="B132" s="88" t="str">
        <f>HLOOKUP(Introduzione!$B$9,$C:$G,$A132,FALSE)</f>
      </c>
      <c r="C132" s="88" t="s">
        <v>18</v>
      </c>
      <c r="D132" s="88" t="s">
        <v>456</v>
      </c>
      <c r="E132" s="88" t="s">
        <v>457</v>
      </c>
      <c r="F132" s="88" t="s">
        <v>458</v>
      </c>
    </row>
    <row r="133" spans="1:6">
      <c r="A133" s="88">
        <v>133</v>
      </c>
      <c r="B133" s="88" t="str">
        <f>HLOOKUP(Introduzione!$B$9,$C:$G,$A133,FALSE)</f>
      </c>
      <c r="C133" s="88" t="s">
        <v>19</v>
      </c>
      <c r="D133" s="88" t="s">
        <v>459</v>
      </c>
      <c r="E133" s="88" t="s">
        <v>460</v>
      </c>
      <c r="F133" s="88" t="s">
        <v>461</v>
      </c>
    </row>
    <row r="134" spans="1:6">
      <c r="A134" s="88">
        <v>134</v>
      </c>
      <c r="B134" s="88" t="str">
        <f>HLOOKUP(Introduzione!$B$9,$C:$G,$A134,FALSE)</f>
      </c>
      <c r="C134" s="88" t="s">
        <v>20</v>
      </c>
      <c r="D134" s="88" t="s">
        <v>462</v>
      </c>
      <c r="E134" s="88" t="s">
        <v>463</v>
      </c>
      <c r="F134" s="88" t="s">
        <v>464</v>
      </c>
    </row>
    <row r="135" spans="1:6">
      <c r="A135" s="88">
        <v>135</v>
      </c>
      <c r="B135" s="88" t="str">
        <f>HLOOKUP(Introduzione!$B$9,$C:$G,$A135,FALSE)</f>
      </c>
      <c r="C135" s="88" t="s">
        <v>21</v>
      </c>
      <c r="D135" s="88" t="s">
        <v>465</v>
      </c>
      <c r="E135" s="88" t="s">
        <v>466</v>
      </c>
      <c r="F135" s="88" t="s">
        <v>467</v>
      </c>
    </row>
    <row r="136" spans="1:6" ht="25.5">
      <c r="A136" s="88">
        <v>136</v>
      </c>
      <c r="B136" s="88" t="str">
        <f>HLOOKUP(Introduzione!$B$9,$C:$G,$A136,FALSE)</f>
      </c>
      <c r="C136" s="88" t="s">
        <v>468</v>
      </c>
      <c r="D136" s="88" t="s">
        <v>469</v>
      </c>
      <c r="E136" s="88" t="s">
        <v>470</v>
      </c>
      <c r="F136" s="88" t="s">
        <v>471</v>
      </c>
    </row>
    <row r="137" spans="1:6">
      <c r="A137" s="88">
        <v>137</v>
      </c>
      <c r="B137" s="88" t="str">
        <f>HLOOKUP(Introduzione!$B$9,$C:$G,$A137,FALSE)</f>
      </c>
      <c r="C137" s="88" t="s">
        <v>472</v>
      </c>
      <c r="D137" s="88" t="s">
        <v>472</v>
      </c>
      <c r="E137" s="88" t="s">
        <v>473</v>
      </c>
      <c r="F137" s="88" t="s">
        <v>474</v>
      </c>
    </row>
    <row r="138" spans="1:6">
      <c r="A138" s="88">
        <v>138</v>
      </c>
      <c r="B138" s="88" t="str">
        <f>HLOOKUP(Introduzione!$B$9,$C:$G,$A138,FALSE)</f>
      </c>
      <c r="C138" s="88" t="s">
        <v>475</v>
      </c>
      <c r="D138" s="88" t="s">
        <v>475</v>
      </c>
      <c r="E138" s="88" t="s">
        <v>476</v>
      </c>
      <c r="F138" s="88" t="s">
        <v>477</v>
      </c>
    </row>
    <row r="139" spans="1:6">
      <c r="A139" s="88">
        <v>139</v>
      </c>
      <c r="B139" s="88" t="str">
        <f>HLOOKUP(Introduzione!$B$9,$C:$G,$A139,FALSE)</f>
      </c>
      <c r="C139" s="88" t="s">
        <v>478</v>
      </c>
      <c r="D139" s="88" t="s">
        <v>478</v>
      </c>
      <c r="F139" s="88" t="s">
        <v>479</v>
      </c>
    </row>
    <row r="140" spans="1:6">
      <c r="A140" s="88">
        <v>140</v>
      </c>
      <c r="B140" s="88" t="str">
        <f>HLOOKUP(Introduzione!$B$9,$C:$G,$A140,FALSE)</f>
      </c>
      <c r="C140" s="88" t="s">
        <v>480</v>
      </c>
      <c r="D140" s="88" t="s">
        <v>480</v>
      </c>
      <c r="E140" s="88" t="s">
        <v>481</v>
      </c>
      <c r="F140" s="88" t="s">
        <v>482</v>
      </c>
    </row>
    <row r="141" spans="1:6">
      <c r="A141" s="88">
        <v>141</v>
      </c>
      <c r="B141" s="88" t="str">
        <f>HLOOKUP(Introduzione!$B$9,$C:$G,$A141,FALSE)</f>
      </c>
      <c r="C141" s="88" t="s">
        <v>483</v>
      </c>
      <c r="D141" s="88" t="s">
        <v>483</v>
      </c>
      <c r="E141" s="88" t="s">
        <v>484</v>
      </c>
      <c r="F141" s="88" t="s">
        <v>485</v>
      </c>
    </row>
    <row r="142" spans="1:6">
      <c r="A142" s="88">
        <v>142</v>
      </c>
      <c r="B142" s="88" t="str">
        <f>HLOOKUP(Introduzione!$B$9,$C:$G,$A142,FALSE)</f>
      </c>
      <c r="C142" s="88" t="s">
        <v>486</v>
      </c>
      <c r="D142" s="88" t="s">
        <v>486</v>
      </c>
      <c r="E142" s="88" t="s">
        <v>487</v>
      </c>
      <c r="F142" s="88" t="s">
        <v>488</v>
      </c>
    </row>
    <row r="143" spans="1:6">
      <c r="A143" s="88">
        <v>143</v>
      </c>
      <c r="B143" s="88" t="str">
        <f>HLOOKUP(Introduzione!$B$9,$C:$G,$A143,FALSE)</f>
      </c>
      <c r="C143" s="88" t="s">
        <v>489</v>
      </c>
      <c r="D143" s="88" t="s">
        <v>489</v>
      </c>
      <c r="E143" s="88" t="s">
        <v>490</v>
      </c>
      <c r="F143" s="88" t="s">
        <v>491</v>
      </c>
    </row>
    <row r="144" spans="1:6">
      <c r="A144" s="88">
        <v>144</v>
      </c>
      <c r="B144" s="88" t="str">
        <f>HLOOKUP(Introduzione!$B$9,$C:$G,$A144,FALSE)</f>
      </c>
      <c r="C144" s="88" t="s">
        <v>492</v>
      </c>
      <c r="D144" s="88" t="s">
        <v>492</v>
      </c>
      <c r="E144" s="88" t="s">
        <v>492</v>
      </c>
      <c r="F144" s="88" t="s">
        <v>493</v>
      </c>
    </row>
    <row r="145" spans="1:6">
      <c r="A145" s="88">
        <v>145</v>
      </c>
      <c r="B145" s="88" t="str">
        <f>HLOOKUP(Introduzione!$B$9,$C:$G,$A145,FALSE)</f>
      </c>
      <c r="C145" s="88" t="s">
        <v>494</v>
      </c>
      <c r="D145" s="88" t="s">
        <v>139</v>
      </c>
      <c r="E145" s="88" t="s">
        <v>140</v>
      </c>
      <c r="F145" s="88" t="s">
        <v>141</v>
      </c>
    </row>
    <row r="146" spans="1:6">
      <c r="A146" s="88">
        <v>146</v>
      </c>
      <c r="B146" s="88" t="str">
        <f>HLOOKUP(Introduzione!$B$9,$C:$G,$A146,FALSE)</f>
      </c>
      <c r="C146" s="88" t="s">
        <v>134</v>
      </c>
      <c r="D146" s="88" t="s">
        <v>135</v>
      </c>
      <c r="E146" s="88" t="s">
        <v>136</v>
      </c>
      <c r="F146" s="88" t="s">
        <v>137</v>
      </c>
    </row>
    <row r="147" spans="1:6">
      <c r="A147" s="88">
        <v>147</v>
      </c>
      <c r="B147" s="88" t="str">
        <f>HLOOKUP(Introduzione!$B$9,$C:$G,$A147,FALSE)</f>
      </c>
      <c r="C147" s="88" t="s">
        <v>10</v>
      </c>
      <c r="D147" s="88" t="s">
        <v>147</v>
      </c>
      <c r="E147" s="88" t="s">
        <v>148</v>
      </c>
      <c r="F147" s="104" t="s">
        <v>495</v>
      </c>
    </row>
    <row r="148" spans="1:6" s="89" customFormat="1">
      <c r="A148" s="88">
        <v>148</v>
      </c>
      <c r="B148" s="88" t="str">
        <f>HLOOKUP(Introduzione!$B$9,$C:$G,$A148,FALSE)</f>
      </c>
      <c r="C148" s="89" t="str">
        <f>IF('Le mie risposte'!$F$28="Ja","vul bedrag in:","")</f>
      </c>
      <c r="D148" s="89" t="str">
        <f>IF('Le mie risposte'!$F$28=dropdowns!$B$2,"please complete:","")</f>
      </c>
      <c r="E148" s="89" t="str">
        <f>IF('Le mie risposte'!$F$28=dropdowns!$B$2,"Introduce la cantidad:","")</f>
      </c>
      <c r="F148" s="89" t="str">
        <f>IF('Le mie risposte'!$F$28=dropdowns!$B$2,"Inserisci l'importo:","")</f>
      </c>
    </row>
    <row r="149" spans="1:6" s="89" customFormat="1">
      <c r="A149" s="88">
        <v>149</v>
      </c>
      <c r="B149" s="88" t="str">
        <f>HLOOKUP(Introduzione!$B$9,$C:$G,$A149,FALSE)</f>
      </c>
      <c r="C149" s="89" t="str">
        <f>IF('Le mie risposte'!$D$28="Ja","vul bedrag in:","")</f>
      </c>
      <c r="D149" s="89" t="str">
        <f>IF('Le mie risposte'!$D$28=dropdowns!$B$2,"please complete:","")</f>
      </c>
      <c r="E149" s="89" t="str">
        <f>IF('Le mie risposte'!$D$28=dropdowns!$B$2,"Introduce la cantidad:","")</f>
      </c>
      <c r="F149" s="89" t="str">
        <f>IF('Le mie risposte'!$D$28=dropdowns!$B$2,"Introduce la cantidad:","")</f>
      </c>
    </row>
    <row r="150" spans="1:6">
      <c r="A150" s="88">
        <v>150</v>
      </c>
      <c r="B150" s="88" t="str">
        <f>HLOOKUP(Introduzione!$B$9,$C:$G,$A150,FALSE)</f>
      </c>
      <c r="C150" s="88" t="s">
        <v>150</v>
      </c>
      <c r="D150" s="88" t="s">
        <v>151</v>
      </c>
      <c r="E150" s="88" t="s">
        <v>496</v>
      </c>
      <c r="F150" s="88" t="s">
        <v>153</v>
      </c>
    </row>
    <row r="151" spans="1:6" s="89" customFormat="1">
      <c r="A151" s="88">
        <v>151</v>
      </c>
      <c r="B151" s="88" t="str">
        <f>HLOOKUP(Introduzione!$B$9,$C:$G,$A151,FALSE)</f>
      </c>
      <c r="C151" s="89" t="str">
        <f>IF('Le mie risposte'!$F$123&gt;0,"vul bedrag in:","")</f>
      </c>
      <c r="D151" s="89" t="str">
        <f>IF('Le mie risposte'!$F$123&gt;0,"please complete:","")</f>
      </c>
      <c r="E151" s="89" t="str">
        <f>IF('Le mie risposte'!$F$123&gt;0,"Introduce la cantidad:","")</f>
      </c>
      <c r="F151" s="89" t="str">
        <f>IF('Le mie risposte'!$F$123&gt;0,"Inserisci l'importo:","")</f>
      </c>
    </row>
    <row r="152" spans="1:6" s="89" customFormat="1">
      <c r="A152" s="88">
        <v>152</v>
      </c>
      <c r="B152" s="88" t="str">
        <f>HLOOKUP(Introduzione!$B$9,$C:$G,$A152,FALSE)</f>
      </c>
      <c r="C152" s="89" t="str">
        <f>IF('Le mie risposte'!$F$123&gt;0,"vul bedrag in:","")</f>
      </c>
      <c r="D152" s="89" t="str">
        <f>IF('Le mie risposte'!$F$123&gt;0,"please complete:","")</f>
      </c>
      <c r="E152" s="89" t="str">
        <f>IF('Le mie risposte'!$F$123&gt;0,"Introduce la cantidad:","")</f>
      </c>
      <c r="F152" s="89" t="str">
        <f>IF('Le mie risposte'!$F$123&gt;0,"Inserisci l'importo:","")</f>
      </c>
    </row>
    <row r="153" spans="1:6" s="89" customFormat="1">
      <c r="A153" s="88">
        <v>153</v>
      </c>
      <c r="B153" s="88" t="str">
        <f>HLOOKUP(Introduzione!$B$9,$C:$G,$A153,FALSE)</f>
      </c>
      <c r="C153" s="89" t="str">
        <f>IF('Le mie risposte'!$F$123&gt;0,"Selecteer:","")</f>
      </c>
      <c r="D153" s="89" t="str">
        <f>IF('Le mie risposte'!$F$123&gt;0,"select:","")</f>
      </c>
      <c r="E153" s="89" t="str">
        <f>IF('Le mie risposte'!$F$123&gt;0,"Selecciona:","")</f>
      </c>
      <c r="F153" s="89" t="str">
        <f>IF('Le mie risposte'!$F$123&gt;0,"Seleziona:","")</f>
      </c>
    </row>
    <row r="154" spans="1:6" s="89" customFormat="1">
      <c r="A154" s="88">
        <v>154</v>
      </c>
      <c r="B154" s="88" t="str">
        <f>HLOOKUP(Introduzione!$B$9,$C:$G,$A154,FALSE)</f>
      </c>
      <c r="C154" s="89" t="str">
        <f>IF('Le mie risposte'!$F$131&gt;0,"vul bedrag in:","")</f>
      </c>
      <c r="D154" s="89" t="str">
        <f>IF('Le mie risposte'!$F$131&gt;0,"please complete:","")</f>
      </c>
      <c r="E154" s="89" t="str">
        <f>IF('Le mie risposte'!$F$131&gt;0,"Introduce la cantidad:","")</f>
      </c>
      <c r="F154" s="89" t="str">
        <f>IF('Le mie risposte'!$F$131&gt;0,"Inserisci l'importo:","")</f>
      </c>
    </row>
    <row r="155" spans="1:6" s="89" customFormat="1">
      <c r="A155" s="88">
        <v>155</v>
      </c>
      <c r="B155" s="88" t="str">
        <f>HLOOKUP(Introduzione!$B$9,$C:$G,$A155,FALSE)</f>
      </c>
      <c r="C155" s="89" t="str">
        <f>IF('Le mie risposte'!$F$131&gt;0,"vul bedrag in:","")</f>
      </c>
      <c r="D155" s="89" t="str">
        <f>IF('Le mie risposte'!$F$131&gt;0,"please complete:","")</f>
      </c>
      <c r="E155" s="89" t="str">
        <f>IF('Le mie risposte'!$F$131&gt;0,"Introduce la cantidad:","")</f>
      </c>
      <c r="F155" s="89" t="str">
        <f>IF('Le mie risposte'!$F$131&gt;0,"Inserisci l'importo:","")</f>
      </c>
    </row>
    <row r="156" spans="1:6" s="89" customFormat="1">
      <c r="A156" s="88">
        <v>156</v>
      </c>
      <c r="B156" s="88" t="str">
        <f>HLOOKUP(Introduzione!$B$9,$C:$G,$A156,FALSE)</f>
      </c>
      <c r="C156" s="89" t="str">
        <f>IF('Le mie risposte'!$F$131&gt;0,"Selecteer:","")</f>
      </c>
      <c r="D156" s="89" t="str">
        <f>IF('Le mie risposte'!$F$131&gt;0,"select:","")</f>
      </c>
      <c r="E156" s="89" t="str">
        <f>IF('Le mie risposte'!$F$131&gt;0,"Selecciona:","")</f>
      </c>
      <c r="F156" s="89" t="str">
        <f>IF('Le mie risposte'!$F$131&gt;0,"Seleziona:","")</f>
      </c>
    </row>
    <row r="157" spans="1:6">
      <c r="A157" s="88">
        <v>157</v>
      </c>
      <c r="B157" s="88" t="str">
        <f>HLOOKUP(Introduzione!$B$9,$C:$G,$A157,FALSE)</f>
      </c>
      <c r="C157" s="89" t="str">
        <f>IF('Le mie risposte'!$F$142&gt;0,"Selecteer:","")</f>
      </c>
      <c r="D157" s="89" t="str">
        <f>IF('Le mie risposte'!$F$142&gt;0,"select:","")</f>
      </c>
      <c r="E157" s="89" t="str">
        <f>IF('Le mie risposte'!$F$142&gt;0,"Selecciona:","")</f>
      </c>
      <c r="F157" s="89" t="str">
        <f>IF('Le mie risposte'!$F$142&gt;0,"Seleziona:","")</f>
      </c>
    </row>
    <row r="158" spans="1:6" s="89" customFormat="1">
      <c r="A158" s="88">
        <v>158</v>
      </c>
      <c r="B158" s="88" t="str">
        <f>HLOOKUP(Introduzione!$B$9,$C:$G,$A158,FALSE)</f>
      </c>
      <c r="C158" s="89" t="str">
        <f>IF('Le mie risposte'!$F$146&gt;0,"Selecteer:","")</f>
      </c>
      <c r="D158" s="89" t="str">
        <f>IF('Le mie risposte'!$F$146&gt;0,"select:","")</f>
      </c>
      <c r="E158" s="89" t="str">
        <f>IF('Le mie risposte'!$F$146&gt;0,"Selecciona:","")</f>
      </c>
      <c r="F158" s="89" t="str">
        <f>IF('Le mie risposte'!$F$146&gt;0,"Seleziona:","")</f>
      </c>
    </row>
    <row r="159" spans="1:6" s="89" customFormat="1">
      <c r="A159" s="88">
        <v>159</v>
      </c>
      <c r="B159" s="88" t="str">
        <f>HLOOKUP(Introduzione!$B$9,$C:$G,$A159,FALSE)</f>
      </c>
      <c r="C159" s="89" t="str">
        <f>IF('Le mie risposte'!$D$165="Ja","vul perc in:","")</f>
      </c>
      <c r="D159" s="89" t="str">
        <f>IF('Le mie risposte'!$D$165=dropdowns!$B$2,"please complete:","")</f>
      </c>
      <c r="E159" s="89" t="str">
        <f>IF('Le mie risposte'!$D$165=dropdowns!$B$2,"Introduce el %:","")</f>
      </c>
      <c r="F159" s="89" t="str">
        <f>IF('Le mie risposte'!$D$165=dropdowns!$B$2,"Inserisci la percentuale:","")</f>
      </c>
    </row>
    <row r="160" spans="1:6" s="89" customFormat="1">
      <c r="A160" s="88">
        <v>160</v>
      </c>
      <c r="B160" s="88" t="str">
        <f>HLOOKUP(Introduzione!$B$9,$C:$G,$A160,FALSE)</f>
      </c>
      <c r="C160" s="89" t="str">
        <f>IF('Le mie risposte'!$D$165="Ja","Selecteer:","")</f>
      </c>
      <c r="D160" s="89" t="str">
        <f>IF('Le mie risposte'!$D$165=dropdowns!$B$2,"select:","")</f>
      </c>
      <c r="E160" s="89" t="str">
        <f>IF('Le mie risposte'!$D$165=dropdowns!$B$2,"Selecciona:","")</f>
      </c>
      <c r="F160" s="89" t="str">
        <f>IF('Le mie risposte'!$D$165=dropdowns!$B$2,"Seleziona:","")</f>
      </c>
    </row>
    <row r="161" spans="1:6" s="89" customFormat="1">
      <c r="A161" s="88">
        <v>161</v>
      </c>
      <c r="B161" s="88" t="str">
        <f>HLOOKUP(Introduzione!$B$9,$C:$G,$A161,FALSE)</f>
      </c>
      <c r="C161" s="89" t="str">
        <f>IF('Le mie risposte'!$D$165="Ja","Selecteer:","")</f>
      </c>
      <c r="D161" s="89" t="str">
        <f>IF('Le mie risposte'!$D$165=dropdowns!$B$2,"select:","")</f>
      </c>
      <c r="E161" s="89" t="str">
        <f>IF('Le mie risposte'!$D$165=dropdowns!$B$2,"Selecciona:","")</f>
      </c>
      <c r="F161" s="89" t="str">
        <f>IF('Le mie risposte'!$D$165=dropdowns!$B$2,"Seleziona:","")</f>
      </c>
    </row>
    <row r="162" spans="1:6" s="89" customFormat="1">
      <c r="A162" s="88">
        <v>162</v>
      </c>
      <c r="B162" s="88" t="str">
        <f>HLOOKUP(Introduzione!$B$9,$C:$G,$A162,FALSE)</f>
      </c>
      <c r="C162" s="89" t="str">
        <f>IF('Le mie risposte'!$F$165="Ja","vul perc in:","")</f>
      </c>
      <c r="D162" s="89" t="str">
        <f>IF('Le mie risposte'!$F$165=dropdowns!$B$2,"please complete:","")</f>
      </c>
      <c r="E162" s="89" t="str">
        <f>IF('Le mie risposte'!$F$165=dropdowns!$B$2,"Introduce el %:","")</f>
      </c>
      <c r="F162" s="89" t="str">
        <f>IF('Le mie risposte'!$F$165=dropdowns!$B$2,"Inserisci la percentuale:","")</f>
      </c>
    </row>
    <row r="163" spans="1:6" s="89" customFormat="1">
      <c r="A163" s="88">
        <v>163</v>
      </c>
      <c r="B163" s="88" t="str">
        <f>HLOOKUP(Introduzione!$B$9,$C:$G,$A163,FALSE)</f>
      </c>
      <c r="C163" s="89" t="str">
        <f>IF('Le mie risposte'!$F$165="Ja","Selecteer:","")</f>
      </c>
      <c r="D163" s="89" t="str">
        <f>IF('Le mie risposte'!$F$165=dropdowns!$B$2,"select:","")</f>
      </c>
      <c r="E163" s="89" t="str">
        <f>IF('Le mie risposte'!$F$165=dropdowns!$B$2,"Selecciona:","")</f>
      </c>
      <c r="F163" s="89" t="str">
        <f>IF('Le mie risposte'!$F$165=dropdowns!$B$2,"Seleziona:","")</f>
      </c>
    </row>
    <row r="164" spans="1:6" s="89" customFormat="1">
      <c r="A164" s="88">
        <v>164</v>
      </c>
      <c r="B164" s="88" t="str">
        <f>HLOOKUP(Introduzione!$B$9,$C:$G,$A164,FALSE)</f>
      </c>
      <c r="C164" s="89" t="str">
        <f>IF('Le mie risposte'!$F$165="Ja","Selecteer:","")</f>
      </c>
      <c r="D164" s="89" t="str">
        <f>IF('Le mie risposte'!$F$165=dropdowns!$B$2,"select:","")</f>
      </c>
      <c r="E164" s="89" t="str">
        <f>IF('Le mie risposte'!$F$165=dropdowns!$B$2,"Selecciona:","")</f>
      </c>
      <c r="F164" s="89" t="str">
        <f>IF('Le mie risposte'!$F$165=dropdowns!$B$2,"Seleziona:","")</f>
      </c>
    </row>
    <row r="165" spans="1:6">
      <c r="A165" s="88">
        <v>165</v>
      </c>
      <c r="B165" s="88" t="str">
        <f>HLOOKUP(Introduzione!$B$9,$C:$G,$A165,FALSE)</f>
      </c>
      <c r="C165" s="88" t="s">
        <v>497</v>
      </c>
      <c r="D165" s="88" t="s">
        <v>498</v>
      </c>
      <c r="E165" s="88" t="s">
        <v>499</v>
      </c>
      <c r="F165" s="88" t="s">
        <v>500</v>
      </c>
    </row>
    <row r="166" spans="1:6">
      <c r="A166" s="88">
        <v>166</v>
      </c>
      <c r="B166" s="88" t="str">
        <f>HLOOKUP(Introduzione!$B$9,$C:$G,$A166,FALSE)</f>
      </c>
      <c r="C166" s="88" t="s">
        <v>501</v>
      </c>
      <c r="D166" s="88" t="s">
        <v>502</v>
      </c>
      <c r="E166" s="88" t="s">
        <v>499</v>
      </c>
      <c r="F166" s="88" t="s">
        <v>503</v>
      </c>
    </row>
    <row r="167" spans="1:6">
      <c r="A167" s="88">
        <v>167</v>
      </c>
      <c r="B167" s="88" t="str">
        <f>HLOOKUP(Introduzione!$B$9,$C:$G,$A167,FALSE)</f>
      </c>
      <c r="C167" s="88" t="s">
        <v>504</v>
      </c>
      <c r="D167" s="88" t="s">
        <v>505</v>
      </c>
      <c r="E167" s="88" t="s">
        <v>506</v>
      </c>
      <c r="F167" s="88" t="s">
        <v>1849</v>
      </c>
    </row>
    <row r="168" spans="1:6">
      <c r="A168" s="88">
        <v>168</v>
      </c>
      <c r="B168" s="88" t="str">
        <f>HLOOKUP(Introduzione!$B$9,$C:$G,$A168,FALSE)</f>
      </c>
      <c r="C168" s="88" t="s">
        <v>288</v>
      </c>
      <c r="D168" s="88" t="s">
        <v>289</v>
      </c>
      <c r="E168" s="88" t="s">
        <v>507</v>
      </c>
      <c r="F168" s="88" t="s">
        <v>508</v>
      </c>
    </row>
    <row r="169" spans="1:6">
      <c r="A169" s="88">
        <v>169</v>
      </c>
      <c r="B169" s="88" t="str">
        <f>HLOOKUP(Introduzione!$B$9,$C:$G,$A169,FALSE)</f>
      </c>
      <c r="C169" s="88" t="s">
        <v>509</v>
      </c>
      <c r="D169" s="88" t="s">
        <v>510</v>
      </c>
      <c r="E169" s="88" t="s">
        <v>511</v>
      </c>
      <c r="F169" s="88" t="s">
        <v>512</v>
      </c>
    </row>
    <row r="170" spans="1:6">
      <c r="A170" s="88">
        <v>170</v>
      </c>
      <c r="B170" s="88" t="str">
        <f>HLOOKUP(Introduzione!$B$9,$C:$G,$A170,FALSE)</f>
      </c>
      <c r="C170" s="88" t="s">
        <v>513</v>
      </c>
      <c r="D170" s="88" t="s">
        <v>514</v>
      </c>
      <c r="E170" s="88" t="s">
        <v>515</v>
      </c>
      <c r="F170" s="88" t="s">
        <v>299</v>
      </c>
    </row>
    <row r="171" spans="1:6">
      <c r="A171" s="88">
        <v>171</v>
      </c>
      <c r="B171" s="88" t="str">
        <f>HLOOKUP(Introduzione!$B$9,$C:$G,$A171,FALSE)</f>
      </c>
      <c r="C171" s="88" t="s">
        <v>516</v>
      </c>
      <c r="D171" s="88" t="s">
        <v>517</v>
      </c>
      <c r="E171" s="88" t="s">
        <v>518</v>
      </c>
      <c r="F171" s="88" t="s">
        <v>307</v>
      </c>
    </row>
    <row r="172" spans="1:6">
      <c r="A172" s="88">
        <v>172</v>
      </c>
      <c r="B172" s="88" t="str">
        <f>HLOOKUP(Introduzione!$B$9,$C:$G,$A172,FALSE)</f>
      </c>
      <c r="C172" s="88" t="s">
        <v>308</v>
      </c>
      <c r="D172" s="88" t="s">
        <v>309</v>
      </c>
      <c r="E172" s="88" t="s">
        <v>310</v>
      </c>
      <c r="F172" s="88" t="s">
        <v>311</v>
      </c>
    </row>
    <row r="173" spans="1:6">
      <c r="A173" s="88">
        <v>173</v>
      </c>
      <c r="B173" s="88" t="str">
        <f>HLOOKUP(Introduzione!$B$9,$C:$G,$A173,FALSE)</f>
      </c>
      <c r="C173" s="88" t="s">
        <v>519</v>
      </c>
      <c r="D173" s="88" t="s">
        <v>520</v>
      </c>
      <c r="E173" s="88" t="s">
        <v>521</v>
      </c>
      <c r="F173" s="88" t="s">
        <v>522</v>
      </c>
    </row>
    <row r="174" spans="1:6">
      <c r="A174" s="88">
        <v>174</v>
      </c>
      <c r="B174" s="88" t="str">
        <f>HLOOKUP(Introduzione!$B$9,$C:$G,$A174,FALSE)</f>
      </c>
      <c r="C174" s="88" t="s">
        <v>523</v>
      </c>
      <c r="D174" s="88" t="s">
        <v>524</v>
      </c>
      <c r="E174" s="88" t="s">
        <v>525</v>
      </c>
      <c r="F174" s="88" t="s">
        <v>1850</v>
      </c>
    </row>
    <row r="175" spans="1:6">
      <c r="A175" s="88">
        <v>175</v>
      </c>
      <c r="B175" s="88" t="str">
        <f>HLOOKUP(Introduzione!$B$9,$C:$G,$A175,FALSE)</f>
      </c>
      <c r="C175" s="88" t="s">
        <v>526</v>
      </c>
      <c r="D175" s="88" t="s">
        <v>527</v>
      </c>
      <c r="E175" s="88" t="s">
        <v>528</v>
      </c>
      <c r="F175" s="88" t="s">
        <v>529</v>
      </c>
    </row>
    <row r="176" spans="1:6">
      <c r="A176" s="88">
        <v>176</v>
      </c>
      <c r="B176" s="88" t="str">
        <f>HLOOKUP(Introduzione!$B$9,$C:$G,$A176,FALSE)</f>
      </c>
      <c r="C176" s="88" t="s">
        <v>530</v>
      </c>
      <c r="D176" s="88" t="s">
        <v>531</v>
      </c>
      <c r="E176" s="88" t="s">
        <v>333</v>
      </c>
      <c r="F176" s="88" t="s">
        <v>532</v>
      </c>
    </row>
    <row r="177" spans="1:6">
      <c r="A177" s="88">
        <v>177</v>
      </c>
      <c r="B177" s="88" t="str">
        <f>HLOOKUP(Introduzione!$B$9,$C:$G,$A177,FALSE)</f>
      </c>
      <c r="C177" s="88" t="s">
        <v>335</v>
      </c>
      <c r="D177" s="88" t="s">
        <v>336</v>
      </c>
      <c r="E177" s="88" t="s">
        <v>533</v>
      </c>
      <c r="F177" s="88" t="s">
        <v>338</v>
      </c>
    </row>
    <row r="178" spans="1:6">
      <c r="A178" s="88">
        <v>178</v>
      </c>
      <c r="B178" s="88" t="str">
        <f>HLOOKUP(Introduzione!$B$9,$C:$G,$A178,FALSE)</f>
      </c>
      <c r="C178" s="88" t="s">
        <v>534</v>
      </c>
      <c r="D178" s="88" t="s">
        <v>535</v>
      </c>
      <c r="E178" s="88" t="s">
        <v>536</v>
      </c>
      <c r="F178" s="88" t="s">
        <v>537</v>
      </c>
    </row>
    <row r="179" spans="1:6">
      <c r="A179" s="88">
        <v>179</v>
      </c>
      <c r="B179" s="88" t="str">
        <f>HLOOKUP(Introduzione!$B$9,$C:$G,$A179,FALSE)</f>
      </c>
      <c r="C179" s="88" t="s">
        <v>538</v>
      </c>
      <c r="D179" s="88" t="s">
        <v>539</v>
      </c>
      <c r="E179" s="88" t="s">
        <v>540</v>
      </c>
      <c r="F179" s="88" t="s">
        <v>541</v>
      </c>
    </row>
    <row r="180" spans="1:6">
      <c r="A180" s="88">
        <v>180</v>
      </c>
      <c r="B180" s="88" t="str">
        <f>HLOOKUP(Introduzione!$B$9,$C:$G,$A180,FALSE)</f>
      </c>
      <c r="C180" s="88" t="s">
        <v>542</v>
      </c>
      <c r="D180" s="88" t="s">
        <v>543</v>
      </c>
      <c r="E180" s="88" t="s">
        <v>544</v>
      </c>
      <c r="F180" s="88" t="s">
        <v>545</v>
      </c>
    </row>
    <row r="181" spans="1:6">
      <c r="A181" s="88">
        <v>181</v>
      </c>
      <c r="B181" s="88" t="str">
        <f>HLOOKUP(Introduzione!$B$9,$C:$G,$A181,FALSE)</f>
      </c>
      <c r="C181" s="88" t="s">
        <v>546</v>
      </c>
      <c r="D181" s="88" t="s">
        <v>547</v>
      </c>
      <c r="E181" s="88" t="s">
        <v>548</v>
      </c>
      <c r="F181" s="88" t="s">
        <v>549</v>
      </c>
    </row>
    <row r="182" spans="1:6">
      <c r="A182" s="88">
        <v>182</v>
      </c>
      <c r="B182" s="88" t="str">
        <f>HLOOKUP(Introduzione!$B$9,$C:$G,$A182,FALSE)</f>
      </c>
      <c r="C182" s="88" t="s">
        <v>550</v>
      </c>
      <c r="D182" s="88" t="s">
        <v>27</v>
      </c>
      <c r="E182" s="88" t="s">
        <v>27</v>
      </c>
      <c r="F182" s="88" t="s">
        <v>551</v>
      </c>
    </row>
    <row r="183" spans="1:6">
      <c r="A183" s="88">
        <v>183</v>
      </c>
      <c r="B183" s="88" t="str">
        <f>HLOOKUP(Introduzione!$B$9,$C:$G,$A183,FALSE)</f>
      </c>
      <c r="C183" s="88" t="s">
        <v>552</v>
      </c>
      <c r="D183" s="88" t="s">
        <v>553</v>
      </c>
      <c r="E183" s="88" t="s">
        <v>554</v>
      </c>
      <c r="F183" s="88" t="s">
        <v>555</v>
      </c>
    </row>
    <row r="184" spans="1:6">
      <c r="A184" s="88">
        <v>184</v>
      </c>
      <c r="B184" s="88" t="str">
        <f>HLOOKUP(Introduzione!$B$9,$C:$G,$A184,FALSE)</f>
      </c>
      <c r="C184" s="88" t="s">
        <v>556</v>
      </c>
      <c r="D184" s="88" t="s">
        <v>557</v>
      </c>
      <c r="E184" s="88" t="s">
        <v>558</v>
      </c>
      <c r="F184" s="88" t="s">
        <v>559</v>
      </c>
    </row>
    <row r="185" spans="1:6">
      <c r="A185" s="88">
        <v>185</v>
      </c>
      <c r="B185" s="88" t="str">
        <f>HLOOKUP(Introduzione!$B$9,$C:$G,$A185,FALSE)</f>
      </c>
      <c r="C185" s="88" t="s">
        <v>560</v>
      </c>
      <c r="D185" s="88" t="s">
        <v>561</v>
      </c>
      <c r="E185" s="88" t="s">
        <v>562</v>
      </c>
      <c r="F185" s="88" t="s">
        <v>563</v>
      </c>
    </row>
    <row r="186" spans="1:6">
      <c r="A186" s="88">
        <v>186</v>
      </c>
      <c r="B186" s="88" t="str">
        <f>HLOOKUP(Introduzione!$B$9,$C:$G,$A186,FALSE)</f>
      </c>
      <c r="C186" s="88" t="s">
        <v>564</v>
      </c>
      <c r="D186" s="88" t="s">
        <v>565</v>
      </c>
      <c r="E186" s="88" t="s">
        <v>566</v>
      </c>
      <c r="F186" s="88" t="s">
        <v>567</v>
      </c>
    </row>
    <row r="187" spans="1:6">
      <c r="A187" s="88">
        <v>187</v>
      </c>
      <c r="B187" s="88" t="str">
        <f>HLOOKUP(Introduzione!$B$9,$C:$G,$A187,FALSE)</f>
      </c>
      <c r="C187" s="88" t="s">
        <v>568</v>
      </c>
      <c r="D187" s="88" t="s">
        <v>569</v>
      </c>
      <c r="E187" s="88" t="s">
        <v>570</v>
      </c>
      <c r="F187" s="88" t="s">
        <v>571</v>
      </c>
    </row>
    <row r="188" spans="1:6">
      <c r="A188" s="88">
        <v>188</v>
      </c>
      <c r="B188" s="88" t="str">
        <f>HLOOKUP(Introduzione!$B$9,$C:$G,$A188,FALSE)</f>
      </c>
      <c r="C188" s="88" t="s">
        <v>572</v>
      </c>
      <c r="D188" s="88" t="s">
        <v>343</v>
      </c>
      <c r="E188" s="88" t="s">
        <v>344</v>
      </c>
      <c r="F188" s="88" t="s">
        <v>573</v>
      </c>
    </row>
    <row r="189" spans="1:6">
      <c r="A189" s="88">
        <v>189</v>
      </c>
      <c r="B189" s="88" t="str">
        <f>HLOOKUP(Introduzione!$B$9,$C:$G,$A189,FALSE)</f>
      </c>
      <c r="C189" s="88" t="s">
        <v>574</v>
      </c>
      <c r="D189" s="88" t="s">
        <v>575</v>
      </c>
      <c r="E189" s="88" t="s">
        <v>576</v>
      </c>
      <c r="F189" s="88" t="s">
        <v>577</v>
      </c>
    </row>
    <row r="190" spans="1:6">
      <c r="A190" s="88">
        <v>190</v>
      </c>
      <c r="B190" s="88" t="str">
        <f>HLOOKUP(Introduzione!$B$9,$C:$G,$A190,FALSE)</f>
      </c>
      <c r="C190" s="88" t="s">
        <v>578</v>
      </c>
      <c r="D190" s="88" t="s">
        <v>579</v>
      </c>
      <c r="E190" s="88" t="s">
        <v>580</v>
      </c>
      <c r="F190" s="88" t="s">
        <v>581</v>
      </c>
    </row>
    <row r="191" spans="1:6">
      <c r="A191" s="88">
        <v>191</v>
      </c>
      <c r="B191" s="88" t="str">
        <f>HLOOKUP(Introduzione!$B$9,$C:$G,$A191,FALSE)</f>
      </c>
      <c r="C191" s="88" t="s">
        <v>582</v>
      </c>
      <c r="D191" s="88" t="s">
        <v>583</v>
      </c>
      <c r="E191" s="88" t="s">
        <v>584</v>
      </c>
      <c r="F191" s="88" t="s">
        <v>585</v>
      </c>
    </row>
    <row r="192" spans="1:6">
      <c r="A192" s="88">
        <v>192</v>
      </c>
      <c r="B192" s="88" t="str">
        <f>HLOOKUP(Introduzione!$B$9,$C:$G,$A192,FALSE)</f>
      </c>
      <c r="C192" s="88" t="s">
        <v>550</v>
      </c>
      <c r="D192" s="88" t="s">
        <v>27</v>
      </c>
      <c r="E192" s="88" t="s">
        <v>27</v>
      </c>
      <c r="F192" s="88" t="s">
        <v>551</v>
      </c>
    </row>
    <row r="193" spans="1:6">
      <c r="A193" s="88">
        <v>193</v>
      </c>
      <c r="B193" s="88" t="str">
        <f>HLOOKUP(Introduzione!$B$9,$C:$G,$A193,FALSE)</f>
      </c>
      <c r="C193" s="88" t="s">
        <v>586</v>
      </c>
      <c r="D193" s="88" t="s">
        <v>587</v>
      </c>
      <c r="E193" s="88" t="s">
        <v>588</v>
      </c>
      <c r="F193" s="88" t="s">
        <v>589</v>
      </c>
    </row>
    <row r="194" spans="1:6">
      <c r="A194" s="88">
        <v>194</v>
      </c>
      <c r="B194" s="88" t="str">
        <f>HLOOKUP(Introduzione!$B$9,$C:$G,$A194,FALSE)</f>
      </c>
      <c r="C194" s="88" t="s">
        <v>590</v>
      </c>
      <c r="D194" s="88" t="s">
        <v>591</v>
      </c>
      <c r="E194" s="88" t="s">
        <v>592</v>
      </c>
      <c r="F194" s="88" t="s">
        <v>593</v>
      </c>
    </row>
    <row r="195" spans="1:6" ht="25.5">
      <c r="A195" s="88">
        <v>195</v>
      </c>
      <c r="B195" s="88" t="str">
        <f>HLOOKUP(Introduzione!$B$9,$C:$G,$A195,FALSE)</f>
      </c>
      <c r="C195" s="88" t="s">
        <v>594</v>
      </c>
      <c r="D195" s="88" t="s">
        <v>595</v>
      </c>
      <c r="E195" s="88" t="s">
        <v>596</v>
      </c>
      <c r="F195" s="88" t="s">
        <v>597</v>
      </c>
    </row>
    <row r="196" spans="1:6">
      <c r="A196" s="88">
        <v>196</v>
      </c>
      <c r="B196" s="88" t="str">
        <f>HLOOKUP(Introduzione!$B$9,$C:$G,$A196,FALSE)</f>
      </c>
      <c r="C196" s="88" t="s">
        <v>598</v>
      </c>
      <c r="D196" s="88" t="s">
        <v>599</v>
      </c>
      <c r="E196" s="88" t="s">
        <v>600</v>
      </c>
      <c r="F196" s="88" t="s">
        <v>601</v>
      </c>
    </row>
    <row r="197" spans="1:6">
      <c r="A197" s="88">
        <v>197</v>
      </c>
      <c r="B197" s="88" t="str">
        <f>HLOOKUP(Introduzione!$B$9,$C:$G,$A197,FALSE)</f>
      </c>
      <c r="C197" s="88" t="s">
        <v>138</v>
      </c>
      <c r="D197" s="88" t="s">
        <v>602</v>
      </c>
      <c r="E197" s="88" t="s">
        <v>140</v>
      </c>
      <c r="F197" s="88" t="s">
        <v>141</v>
      </c>
    </row>
    <row r="198" spans="1:6">
      <c r="A198" s="88">
        <v>198</v>
      </c>
      <c r="B198" s="88" t="str">
        <f>HLOOKUP(Introduzione!$B$9,$C:$G,$A198,FALSE)</f>
      </c>
      <c r="C198" s="88" t="s">
        <v>603</v>
      </c>
      <c r="D198" s="88" t="s">
        <v>604</v>
      </c>
      <c r="E198" s="88" t="s">
        <v>1839</v>
      </c>
      <c r="F198" s="88" t="s">
        <v>1838</v>
      </c>
    </row>
    <row r="199" spans="1:6">
      <c r="A199" s="88">
        <v>199</v>
      </c>
      <c r="B199" s="88" t="str">
        <f>HLOOKUP(Introduzione!$B$9,$C:$G,$A199,FALSE)</f>
      </c>
      <c r="C199" s="88" t="s">
        <v>607</v>
      </c>
      <c r="D199" s="88" t="s">
        <v>608</v>
      </c>
      <c r="E199" s="88" t="s">
        <v>605</v>
      </c>
      <c r="F199" s="88" t="s">
        <v>606</v>
      </c>
    </row>
    <row r="200" spans="1:6">
      <c r="A200" s="88">
        <v>200</v>
      </c>
      <c r="B200" s="88" t="str">
        <f>HLOOKUP(Introduzione!$B$9,$C:$G,$A200,FALSE)</f>
      </c>
      <c r="C200" s="88" t="str">
        <f>IF('Previsione di investimento'!$C$28="Annuïteit","vast bedrag voor rente en aflossing","vast bedrag voor aflossing")</f>
      </c>
      <c r="D200" s="88" t="str">
        <f>IF('Previsione di investimento'!$C$28="Annuity","fixed amount for both interest and repayment","fixed amount for repayment")</f>
      </c>
      <c r="E200" s="88" t="str">
        <f>IF('Previsione di investimento'!$C$28="Anualidad","importe fijo de la cuota mensual","importe fijo del reembolso")</f>
      </c>
      <c r="F200" s="88" t="s">
        <v>609</v>
      </c>
    </row>
    <row r="201" spans="1:6">
      <c r="A201" s="88">
        <v>201</v>
      </c>
      <c r="B201" s="88" t="str">
        <f>HLOOKUP(Introduzione!$B$9,$C:$G,$A201,FALSE)</f>
      </c>
      <c r="C201" s="88" t="s">
        <v>610</v>
      </c>
      <c r="D201" s="88" t="s">
        <v>611</v>
      </c>
      <c r="E201" s="88" t="s">
        <v>612</v>
      </c>
      <c r="F201" s="88" t="s">
        <v>613</v>
      </c>
    </row>
    <row r="202" spans="1:6">
      <c r="A202" s="88">
        <v>202</v>
      </c>
      <c r="B202" s="88" t="str">
        <f>HLOOKUP(Introduzione!$B$9,$C:$G,$A202,FALSE)</f>
      </c>
      <c r="C202" s="88" t="s">
        <v>614</v>
      </c>
      <c r="D202" s="88" t="s">
        <v>615</v>
      </c>
      <c r="E202" s="88" t="s">
        <v>616</v>
      </c>
      <c r="F202" s="88" t="s">
        <v>617</v>
      </c>
    </row>
    <row r="203" spans="1:6">
      <c r="A203" s="88">
        <v>203</v>
      </c>
      <c r="B203" s="88" t="str">
        <f>HLOOKUP(Introduzione!$B$9,$C:$G,$A203,FALSE)</f>
      </c>
      <c r="C203" s="88" t="s">
        <v>618</v>
      </c>
      <c r="D203" s="88" t="s">
        <v>619</v>
      </c>
      <c r="E203" s="88" t="s">
        <v>620</v>
      </c>
      <c r="F203" s="88" t="s">
        <v>621</v>
      </c>
    </row>
    <row r="204" spans="1:6">
      <c r="A204" s="88">
        <v>204</v>
      </c>
      <c r="B204" s="88" t="str">
        <f>HLOOKUP(Introduzione!$B$9,$C:$G,$A204,FALSE)</f>
      </c>
      <c r="C204" s="88" t="s">
        <v>622</v>
      </c>
      <c r="D204" s="88" t="s">
        <v>623</v>
      </c>
      <c r="E204" s="88" t="s">
        <v>624</v>
      </c>
      <c r="F204" s="88" t="s">
        <v>625</v>
      </c>
    </row>
    <row r="205" spans="1:6">
      <c r="A205" s="88">
        <v>205</v>
      </c>
      <c r="B205" s="88" t="str">
        <f>HLOOKUP(Introduzione!$B$9,$C:$G,$A205,FALSE)</f>
      </c>
      <c r="C205" s="88" t="s">
        <v>626</v>
      </c>
      <c r="D205" s="88" t="s">
        <v>627</v>
      </c>
      <c r="E205" s="88" t="s">
        <v>628</v>
      </c>
      <c r="F205" s="88" t="s">
        <v>629</v>
      </c>
    </row>
    <row r="206" spans="1:6">
      <c r="A206" s="88">
        <v>206</v>
      </c>
      <c r="B206" s="88" t="str">
        <f>HLOOKUP(Introduzione!$B$9,$C:$G,$A206,FALSE)</f>
      </c>
      <c r="C206" s="88" t="s">
        <v>630</v>
      </c>
      <c r="D206" s="88" t="s">
        <v>631</v>
      </c>
      <c r="E206" s="88" t="s">
        <v>632</v>
      </c>
      <c r="F206" s="88" t="s">
        <v>633</v>
      </c>
    </row>
    <row r="207" spans="1:6">
      <c r="A207" s="88">
        <v>207</v>
      </c>
      <c r="B207" s="88" t="str">
        <f>HLOOKUP(Introduzione!$B$9,$C:$G,$A207,FALSE)</f>
      </c>
      <c r="C207" s="88" t="s">
        <v>634</v>
      </c>
      <c r="D207" s="88" t="s">
        <v>635</v>
      </c>
      <c r="E207" s="88" t="s">
        <v>636</v>
      </c>
      <c r="F207" s="88" t="s">
        <v>637</v>
      </c>
    </row>
    <row r="208" spans="1:6">
      <c r="A208" s="88">
        <v>208</v>
      </c>
      <c r="B208" s="88" t="str">
        <f>HLOOKUP(Introduzione!$B$9,$C:$G,$A208,FALSE)</f>
      </c>
      <c r="C208" s="88" t="s">
        <v>638</v>
      </c>
      <c r="D208" s="88" t="s">
        <v>639</v>
      </c>
      <c r="E208" s="88" t="s">
        <v>640</v>
      </c>
      <c r="F208" s="88" t="s">
        <v>641</v>
      </c>
    </row>
    <row r="209" spans="1:6">
      <c r="A209" s="88">
        <v>209</v>
      </c>
      <c r="B209" s="88" t="str">
        <f>HLOOKUP(Introduzione!$B$9,$C:$G,$A209,FALSE)</f>
      </c>
      <c r="C209" s="88" t="s">
        <v>642</v>
      </c>
      <c r="D209" s="88" t="s">
        <v>643</v>
      </c>
      <c r="E209" s="88" t="s">
        <v>644</v>
      </c>
      <c r="F209" s="88" t="s">
        <v>645</v>
      </c>
    </row>
    <row r="210" spans="1:6">
      <c r="A210" s="88">
        <v>210</v>
      </c>
      <c r="B210" s="88" t="str">
        <f>HLOOKUP(Introduzione!$B$9,$C:$G,$A210,FALSE)</f>
      </c>
      <c r="C210" s="88" t="s">
        <v>646</v>
      </c>
      <c r="D210" s="88" t="s">
        <v>647</v>
      </c>
      <c r="E210" s="88" t="s">
        <v>648</v>
      </c>
      <c r="F210" s="88" t="s">
        <v>649</v>
      </c>
    </row>
    <row r="211" spans="1:6">
      <c r="A211" s="88">
        <v>211</v>
      </c>
      <c r="B211" s="88" t="str">
        <f>HLOOKUP(Introduzione!$B$9,$C:$G,$A211,FALSE)</f>
      </c>
      <c r="C211" s="88" t="s">
        <v>650</v>
      </c>
      <c r="D211" s="88" t="s">
        <v>651</v>
      </c>
      <c r="E211" s="88" t="s">
        <v>652</v>
      </c>
      <c r="F211" s="88" t="s">
        <v>653</v>
      </c>
    </row>
    <row r="212" spans="1:6">
      <c r="A212" s="88">
        <v>212</v>
      </c>
      <c r="B212" s="88" t="str">
        <f>HLOOKUP(Introduzione!$B$9,$C:$G,$A212,FALSE)</f>
      </c>
      <c r="C212" s="88" t="s">
        <v>654</v>
      </c>
      <c r="D212" s="88" t="s">
        <v>655</v>
      </c>
      <c r="E212" s="88" t="s">
        <v>652</v>
      </c>
      <c r="F212" s="88" t="s">
        <v>656</v>
      </c>
    </row>
    <row r="213" spans="1:6">
      <c r="A213" s="88">
        <v>213</v>
      </c>
      <c r="B213" s="88" t="str">
        <f>HLOOKUP(Introduzione!$B$9,$C:$G,$A213,FALSE)</f>
      </c>
      <c r="C213" s="88" t="s">
        <v>657</v>
      </c>
      <c r="D213" s="88" t="s">
        <v>658</v>
      </c>
      <c r="E213" s="88" t="s">
        <v>659</v>
      </c>
      <c r="F213" s="88" t="s">
        <v>660</v>
      </c>
    </row>
    <row r="214" spans="1:6">
      <c r="A214" s="88">
        <v>214</v>
      </c>
      <c r="B214" s="88" t="str">
        <f>HLOOKUP(Introduzione!$B$9,$C:$G,$A214,FALSE)</f>
      </c>
      <c r="C214" s="88" t="s">
        <v>661</v>
      </c>
      <c r="D214" s="88" t="s">
        <v>662</v>
      </c>
      <c r="E214" s="88" t="s">
        <v>663</v>
      </c>
      <c r="F214" s="88" t="s">
        <v>664</v>
      </c>
    </row>
    <row r="215" spans="1:6">
      <c r="A215" s="88">
        <v>215</v>
      </c>
      <c r="B215" s="88" t="str">
        <f>HLOOKUP(Introduzione!$B$9,$C:$G,$A215,FALSE)</f>
      </c>
      <c r="C215" s="88" t="s">
        <v>665</v>
      </c>
      <c r="D215" s="88" t="s">
        <v>666</v>
      </c>
      <c r="E215" s="88" t="s">
        <v>414</v>
      </c>
      <c r="F215" s="88" t="s">
        <v>1867</v>
      </c>
    </row>
    <row r="216" spans="1:6">
      <c r="A216" s="88">
        <v>216</v>
      </c>
      <c r="B216" s="88" t="str">
        <f>HLOOKUP(Introduzione!$B$9,$C:$G,$A216,FALSE)</f>
      </c>
      <c r="C216" s="88" t="s">
        <v>667</v>
      </c>
      <c r="D216" s="88" t="s">
        <v>668</v>
      </c>
      <c r="E216" s="88" t="s">
        <v>669</v>
      </c>
      <c r="F216" s="88" t="s">
        <v>670</v>
      </c>
    </row>
    <row r="217" spans="1:6">
      <c r="A217" s="88">
        <v>217</v>
      </c>
      <c r="B217" s="88" t="str">
        <f>HLOOKUP(Introduzione!$B$9,$C:$G,$A217,FALSE)</f>
      </c>
      <c r="C217" s="88" t="s">
        <v>671</v>
      </c>
      <c r="D217" s="88" t="s">
        <v>672</v>
      </c>
      <c r="E217" s="88" t="s">
        <v>673</v>
      </c>
      <c r="F217" s="88" t="s">
        <v>674</v>
      </c>
    </row>
    <row r="218" spans="1:6">
      <c r="A218" s="88">
        <v>218</v>
      </c>
      <c r="B218" s="88" t="str">
        <f>HLOOKUP(Introduzione!$B$9,$C:$G,$A218,FALSE)</f>
      </c>
      <c r="C218" s="88" t="s">
        <v>675</v>
      </c>
      <c r="D218" s="88" t="s">
        <v>676</v>
      </c>
      <c r="E218" s="88" t="s">
        <v>677</v>
      </c>
      <c r="F218" s="88" t="s">
        <v>678</v>
      </c>
    </row>
    <row r="219" spans="1:6">
      <c r="A219" s="88">
        <v>219</v>
      </c>
      <c r="B219" s="88" t="str">
        <f>HLOOKUP(Introduzione!$B$9,$C:$G,$A219,FALSE)</f>
      </c>
      <c r="C219" s="88" t="s">
        <v>679</v>
      </c>
      <c r="D219" s="88" t="s">
        <v>680</v>
      </c>
      <c r="E219" s="88" t="s">
        <v>681</v>
      </c>
      <c r="F219" s="88" t="s">
        <v>682</v>
      </c>
    </row>
    <row r="220" spans="1:6">
      <c r="A220" s="88">
        <v>220</v>
      </c>
      <c r="B220" s="88" t="str">
        <f>HLOOKUP(Introduzione!$B$9,$C:$G,$A220,FALSE)</f>
      </c>
      <c r="C220" s="88" t="s">
        <v>683</v>
      </c>
      <c r="D220" s="88" t="s">
        <v>684</v>
      </c>
      <c r="E220" s="88" t="s">
        <v>685</v>
      </c>
      <c r="F220" s="88" t="s">
        <v>686</v>
      </c>
    </row>
    <row r="221" spans="1:6">
      <c r="A221" s="88">
        <v>221</v>
      </c>
      <c r="B221" s="88" t="str">
        <f>HLOOKUP(Introduzione!$B$9,$C:$G,$A221,FALSE)</f>
      </c>
      <c r="C221" s="88" t="s">
        <v>687</v>
      </c>
      <c r="D221" s="88" t="s">
        <v>687</v>
      </c>
      <c r="E221" s="88" t="s">
        <v>688</v>
      </c>
      <c r="F221" s="88" t="s">
        <v>689</v>
      </c>
    </row>
    <row r="222" spans="1:6">
      <c r="A222" s="88">
        <v>222</v>
      </c>
      <c r="B222" s="88" t="str">
        <f>HLOOKUP(Introduzione!$B$9,$C:$G,$A222,FALSE)</f>
      </c>
      <c r="C222" s="88" t="s">
        <v>690</v>
      </c>
      <c r="D222" s="88" t="s">
        <v>691</v>
      </c>
      <c r="E222" s="88" t="s">
        <v>692</v>
      </c>
      <c r="F222" s="88" t="s">
        <v>693</v>
      </c>
    </row>
    <row r="223" spans="1:6">
      <c r="A223" s="88">
        <v>223</v>
      </c>
      <c r="B223" s="88" t="str">
        <f>HLOOKUP(Introduzione!$B$9,$C:$G,$A223,FALSE)</f>
      </c>
      <c r="C223" s="88" t="s">
        <v>694</v>
      </c>
      <c r="D223" s="88" t="s">
        <v>695</v>
      </c>
      <c r="E223" s="88" t="s">
        <v>696</v>
      </c>
      <c r="F223" s="88" t="s">
        <v>697</v>
      </c>
    </row>
    <row r="224" spans="1:6">
      <c r="A224" s="88">
        <v>224</v>
      </c>
      <c r="B224" s="88" t="str">
        <f>HLOOKUP(Introduzione!$B$9,$C:$G,$A224,FALSE)</f>
      </c>
      <c r="C224" s="88" t="s">
        <v>698</v>
      </c>
      <c r="D224" s="88" t="s">
        <v>699</v>
      </c>
      <c r="E224" s="88" t="s">
        <v>700</v>
      </c>
      <c r="F224" s="88" t="s">
        <v>1868</v>
      </c>
    </row>
    <row r="225" spans="1:6">
      <c r="A225" s="88">
        <v>225</v>
      </c>
      <c r="B225" s="88" t="str">
        <f>HLOOKUP(Introduzione!$B$9,$C:$G,$A225,FALSE)</f>
      </c>
      <c r="C225" s="88" t="s">
        <v>701</v>
      </c>
      <c r="D225" s="88" t="s">
        <v>702</v>
      </c>
      <c r="E225" s="88" t="s">
        <v>703</v>
      </c>
      <c r="F225" s="88" t="s">
        <v>704</v>
      </c>
    </row>
    <row r="226" spans="1:6">
      <c r="A226" s="88">
        <v>226</v>
      </c>
      <c r="B226" s="88" t="str">
        <f>HLOOKUP(Introduzione!$B$9,$C:$G,$A226,FALSE)</f>
      </c>
      <c r="C226" s="88" t="s">
        <v>705</v>
      </c>
      <c r="D226" s="88" t="s">
        <v>706</v>
      </c>
      <c r="E226" s="88" t="s">
        <v>707</v>
      </c>
      <c r="F226" s="88" t="s">
        <v>708</v>
      </c>
    </row>
    <row r="227" spans="1:6">
      <c r="A227" s="88">
        <v>227</v>
      </c>
      <c r="B227" s="88" t="str">
        <f>HLOOKUP(Introduzione!$B$9,$C:$G,$A227,FALSE)</f>
      </c>
      <c r="C227" s="88" t="s">
        <v>709</v>
      </c>
      <c r="D227" s="88" t="s">
        <v>710</v>
      </c>
      <c r="E227" s="88" t="s">
        <v>711</v>
      </c>
      <c r="F227" s="88" t="s">
        <v>712</v>
      </c>
    </row>
    <row r="228" spans="1:6">
      <c r="A228" s="88">
        <v>228</v>
      </c>
      <c r="B228" s="88" t="str">
        <f>HLOOKUP(Introduzione!$B$9,$C:$G,$A228,FALSE)</f>
      </c>
      <c r="C228" s="88" t="s">
        <v>713</v>
      </c>
      <c r="D228" s="88" t="s">
        <v>714</v>
      </c>
      <c r="E228" s="88" t="s">
        <v>715</v>
      </c>
      <c r="F228" s="88" t="s">
        <v>716</v>
      </c>
    </row>
    <row r="229" spans="1:6">
      <c r="A229" s="88">
        <v>229</v>
      </c>
      <c r="B229" s="88" t="str">
        <f>HLOOKUP(Introduzione!$B$9,$C:$G,$A229,FALSE)</f>
      </c>
      <c r="C229" s="88" t="s">
        <v>717</v>
      </c>
      <c r="D229" s="88" t="s">
        <v>718</v>
      </c>
      <c r="E229" s="88" t="s">
        <v>719</v>
      </c>
      <c r="F229" s="88" t="s">
        <v>720</v>
      </c>
    </row>
    <row r="230" spans="1:6">
      <c r="A230" s="88">
        <v>230</v>
      </c>
      <c r="B230" s="88" t="str">
        <f>HLOOKUP(Introduzione!$B$9,$C:$G,$A230,FALSE)</f>
      </c>
      <c r="C230" s="88" t="s">
        <v>721</v>
      </c>
      <c r="D230" s="88" t="s">
        <v>722</v>
      </c>
      <c r="E230" s="88" t="s">
        <v>723</v>
      </c>
      <c r="F230" s="88" t="s">
        <v>724</v>
      </c>
    </row>
    <row r="231" spans="1:6">
      <c r="A231" s="88">
        <v>231</v>
      </c>
      <c r="B231" s="88" t="str">
        <f>HLOOKUP(Introduzione!$B$9,$C:$G,$A231,FALSE)</f>
      </c>
      <c r="C231" s="88" t="s">
        <v>725</v>
      </c>
      <c r="D231" s="88" t="s">
        <v>726</v>
      </c>
      <c r="E231" s="88" t="s">
        <v>727</v>
      </c>
      <c r="F231" s="88" t="s">
        <v>728</v>
      </c>
    </row>
    <row r="232" spans="1:6">
      <c r="A232" s="88">
        <v>232</v>
      </c>
      <c r="B232" s="88" t="str">
        <f>HLOOKUP(Introduzione!$B$9,$C:$G,$A232,FALSE)</f>
      </c>
      <c r="C232" s="88" t="s">
        <v>729</v>
      </c>
      <c r="D232" s="88" t="s">
        <v>730</v>
      </c>
      <c r="E232" s="88" t="s">
        <v>731</v>
      </c>
      <c r="F232" s="88" t="s">
        <v>732</v>
      </c>
    </row>
    <row r="233" spans="1:6">
      <c r="A233" s="88">
        <v>233</v>
      </c>
      <c r="B233" s="88" t="str">
        <f>HLOOKUP(Introduzione!$B$9,$C:$G,$A233,FALSE)</f>
      </c>
      <c r="C233" s="88" t="s">
        <v>733</v>
      </c>
      <c r="D233" s="88" t="s">
        <v>734</v>
      </c>
      <c r="E233" s="88" t="s">
        <v>735</v>
      </c>
      <c r="F233" s="88" t="s">
        <v>736</v>
      </c>
    </row>
    <row r="234" spans="1:6">
      <c r="A234" s="88">
        <v>234</v>
      </c>
      <c r="B234" s="88" t="str">
        <f>HLOOKUP(Introduzione!$B$9,$C:$G,$A234,FALSE)</f>
      </c>
      <c r="C234" s="88" t="s">
        <v>737</v>
      </c>
      <c r="D234" s="88" t="s">
        <v>738</v>
      </c>
      <c r="E234" s="88" t="s">
        <v>739</v>
      </c>
      <c r="F234" s="88" t="s">
        <v>740</v>
      </c>
    </row>
    <row r="235" spans="1:6">
      <c r="A235" s="88">
        <v>235</v>
      </c>
      <c r="B235" s="88" t="str">
        <f>HLOOKUP(Introduzione!$B$9,$C:$G,$A235,FALSE)</f>
      </c>
      <c r="C235" s="88" t="s">
        <v>741</v>
      </c>
      <c r="D235" s="88" t="s">
        <v>742</v>
      </c>
      <c r="E235" s="88" t="s">
        <v>743</v>
      </c>
      <c r="F235" s="88" t="s">
        <v>744</v>
      </c>
    </row>
    <row r="236" spans="1:6">
      <c r="A236" s="88">
        <v>236</v>
      </c>
      <c r="B236" s="88" t="str">
        <f>HLOOKUP(Introduzione!$B$9,$C:$G,$A236,FALSE)</f>
      </c>
      <c r="C236" s="88" t="s">
        <v>745</v>
      </c>
      <c r="D236" s="88" t="s">
        <v>746</v>
      </c>
      <c r="E236" s="88" t="s">
        <v>747</v>
      </c>
      <c r="F236" s="88" t="s">
        <v>1861</v>
      </c>
    </row>
    <row r="237" spans="1:6">
      <c r="A237" s="88">
        <v>237</v>
      </c>
      <c r="B237" s="88" t="str">
        <f>HLOOKUP(Introduzione!$B$9,$C:$G,$A237,FALSE)</f>
      </c>
      <c r="C237" s="88" t="s">
        <v>748</v>
      </c>
      <c r="D237" s="88" t="s">
        <v>749</v>
      </c>
      <c r="E237" s="88" t="s">
        <v>750</v>
      </c>
      <c r="F237" s="88" t="s">
        <v>1862</v>
      </c>
    </row>
    <row r="238" spans="1:6">
      <c r="A238" s="88">
        <v>238</v>
      </c>
      <c r="B238" s="88" t="str">
        <f>HLOOKUP(Introduzione!$B$9,$C:$G,$A238,FALSE)</f>
      </c>
      <c r="C238" s="88" t="s">
        <v>751</v>
      </c>
      <c r="D238" s="88" t="s">
        <v>752</v>
      </c>
      <c r="E238" s="88" t="s">
        <v>753</v>
      </c>
      <c r="F238" s="88" t="s">
        <v>1863</v>
      </c>
    </row>
    <row r="239" spans="1:6">
      <c r="A239" s="88">
        <v>239</v>
      </c>
      <c r="B239" s="88" t="str">
        <f>HLOOKUP(Introduzione!$B$9,$C:$G,$A239,FALSE)</f>
      </c>
      <c r="C239" s="88" t="s">
        <v>754</v>
      </c>
      <c r="D239" s="88" t="s">
        <v>755</v>
      </c>
      <c r="E239" s="88" t="s">
        <v>756</v>
      </c>
      <c r="F239" s="88" t="s">
        <v>1864</v>
      </c>
    </row>
    <row r="240" spans="1:6">
      <c r="A240" s="88">
        <v>240</v>
      </c>
      <c r="B240" s="88" t="str">
        <f>HLOOKUP(Introduzione!$B$9,$C:$G,$A240,FALSE)</f>
      </c>
      <c r="C240" s="88" t="s">
        <v>876</v>
      </c>
      <c r="D240" s="88" t="e">
        <f>IF('Le mie risposte'!$D$7=dropdowns!#REF!," Corporate income tax"," Tax (income)")</f>
      </c>
      <c r="E240" s="88" t="s">
        <v>757</v>
      </c>
      <c r="F240" s="88" t="s">
        <v>1851</v>
      </c>
    </row>
    <row r="241" spans="1:6">
      <c r="A241" s="88">
        <v>241</v>
      </c>
      <c r="B241" s="88" t="str">
        <f>HLOOKUP(Introduzione!$B$9,$C:$G,$A241,FALSE)</f>
      </c>
      <c r="C241" s="88" t="s">
        <v>1842</v>
      </c>
      <c r="D241" s="88" t="e">
        <f>IF('Le mie risposte'!$D$7=dropdowns!#REF!," Salary management"," Private withdrawal")</f>
      </c>
      <c r="E241" s="88" t="s">
        <v>758</v>
      </c>
      <c r="F241" s="88" t="s">
        <v>1855</v>
      </c>
    </row>
    <row r="242" spans="1:6">
      <c r="A242" s="88">
        <v>242</v>
      </c>
      <c r="B242" s="88" t="str">
        <f>HLOOKUP(Introduzione!$B$9,$C:$G,$A242,FALSE)</f>
      </c>
      <c r="C242" s="88" t="s">
        <v>759</v>
      </c>
      <c r="D242" s="88" t="s">
        <v>760</v>
      </c>
      <c r="E242" s="88" t="s">
        <v>761</v>
      </c>
      <c r="F242" s="88" t="s">
        <v>762</v>
      </c>
    </row>
    <row r="243" spans="1:6">
      <c r="A243" s="88">
        <v>243</v>
      </c>
      <c r="B243" s="88" t="str">
        <f>HLOOKUP(Introduzione!$B$9,$C:$G,$A243,FALSE)</f>
      </c>
      <c r="C243" s="88" t="s">
        <v>763</v>
      </c>
      <c r="D243" s="88" t="s">
        <v>764</v>
      </c>
      <c r="E243" s="88" t="s">
        <v>765</v>
      </c>
      <c r="F243" s="88" t="s">
        <v>766</v>
      </c>
    </row>
    <row r="244" spans="1:6">
      <c r="A244" s="88">
        <v>244</v>
      </c>
      <c r="B244" s="88" t="str">
        <f>HLOOKUP(Introduzione!$B$9,$C:$G,$A244,FALSE)</f>
      </c>
      <c r="C244" s="88" t="s">
        <v>767</v>
      </c>
      <c r="D244" s="88" t="s">
        <v>768</v>
      </c>
      <c r="E244" s="88" t="s">
        <v>769</v>
      </c>
      <c r="F244" s="88" t="s">
        <v>770</v>
      </c>
    </row>
    <row r="245" spans="1:6">
      <c r="A245" s="88">
        <v>245</v>
      </c>
      <c r="B245" s="88" t="str">
        <f>HLOOKUP(Introduzione!$B$9,$C:$G,$A245,FALSE)</f>
      </c>
      <c r="C245" s="88" t="s">
        <v>642</v>
      </c>
      <c r="D245" s="88" t="s">
        <v>771</v>
      </c>
      <c r="E245" s="88" t="s">
        <v>644</v>
      </c>
      <c r="F245" s="88" t="s">
        <v>645</v>
      </c>
    </row>
    <row r="246" spans="1:6">
      <c r="A246" s="88">
        <v>246</v>
      </c>
      <c r="B246" s="88" t="str">
        <f>HLOOKUP(Introduzione!$B$9,$C:$G,$A246,FALSE)</f>
      </c>
      <c r="C246" s="88" t="s">
        <v>646</v>
      </c>
      <c r="D246" s="88" t="s">
        <v>647</v>
      </c>
      <c r="E246" s="88" t="s">
        <v>648</v>
      </c>
      <c r="F246" s="88" t="s">
        <v>649</v>
      </c>
    </row>
    <row r="247" spans="1:6">
      <c r="A247" s="88">
        <v>247</v>
      </c>
      <c r="B247" s="88" t="str">
        <f>HLOOKUP(Introduzione!$B$9,$C:$G,$A247,FALSE)</f>
      </c>
      <c r="C247" s="88" t="s">
        <v>772</v>
      </c>
      <c r="D247" s="88" t="s">
        <v>773</v>
      </c>
      <c r="E247" s="88" t="s">
        <v>774</v>
      </c>
      <c r="F247" s="88" t="s">
        <v>775</v>
      </c>
    </row>
    <row r="248" spans="1:6">
      <c r="A248" s="88">
        <v>248</v>
      </c>
      <c r="B248" s="88" t="str">
        <f>HLOOKUP(Introduzione!$B$9,$C:$G,$A248,FALSE)</f>
      </c>
      <c r="C248" s="88" t="s">
        <v>776</v>
      </c>
      <c r="D248" s="88" t="s">
        <v>777</v>
      </c>
      <c r="E248" s="88" t="s">
        <v>774</v>
      </c>
      <c r="F248" s="88" t="s">
        <v>778</v>
      </c>
    </row>
    <row r="249" spans="1:6">
      <c r="A249" s="88">
        <v>249</v>
      </c>
      <c r="B249" s="88" t="str">
        <f>HLOOKUP(Introduzione!$B$9,$C:$G,$A249,FALSE)</f>
      </c>
      <c r="C249" s="88" t="s">
        <v>779</v>
      </c>
      <c r="D249" s="88" t="s">
        <v>780</v>
      </c>
      <c r="E249" s="88" t="s">
        <v>781</v>
      </c>
      <c r="F249" s="88" t="s">
        <v>782</v>
      </c>
    </row>
    <row r="250" spans="1:6">
      <c r="A250" s="88">
        <v>250</v>
      </c>
      <c r="B250" s="88" t="str">
        <f>HLOOKUP(Introduzione!$B$9,$C:$G,$A250,FALSE)</f>
      </c>
      <c r="C250" s="88" t="s">
        <v>783</v>
      </c>
      <c r="D250" s="88" t="s">
        <v>784</v>
      </c>
      <c r="E250" s="88" t="s">
        <v>785</v>
      </c>
      <c r="F250" s="88" t="s">
        <v>786</v>
      </c>
    </row>
    <row r="251" spans="1:6">
      <c r="A251" s="88">
        <v>251</v>
      </c>
      <c r="B251" s="88" t="str">
        <f>HLOOKUP(Introduzione!$B$9,$C:$G,$A251,FALSE)</f>
      </c>
      <c r="C251" s="88" t="s">
        <v>787</v>
      </c>
      <c r="D251" s="88" t="s">
        <v>788</v>
      </c>
      <c r="E251" s="88" t="s">
        <v>789</v>
      </c>
      <c r="F251" s="88" t="s">
        <v>790</v>
      </c>
    </row>
    <row r="252" spans="1:6">
      <c r="A252" s="88">
        <v>252</v>
      </c>
      <c r="B252" s="88" t="str">
        <f>HLOOKUP(Introduzione!$B$9,$C:$G,$A252,FALSE)</f>
      </c>
      <c r="C252" s="88" t="s">
        <v>791</v>
      </c>
      <c r="D252" s="88" t="s">
        <v>792</v>
      </c>
      <c r="E252" s="88" t="s">
        <v>793</v>
      </c>
      <c r="F252" s="88" t="s">
        <v>794</v>
      </c>
    </row>
    <row r="253" spans="1:6">
      <c r="A253" s="88">
        <v>253</v>
      </c>
      <c r="B253" s="88" t="str">
        <f>HLOOKUP(Introduzione!$B$9,$C:$G,$A253,FALSE)</f>
      </c>
      <c r="C253" s="88" t="s">
        <v>795</v>
      </c>
      <c r="D253" s="88" t="s">
        <v>796</v>
      </c>
      <c r="E253" s="88" t="s">
        <v>797</v>
      </c>
      <c r="F253" s="88" t="s">
        <v>798</v>
      </c>
    </row>
    <row r="254" spans="1:6">
      <c r="A254" s="88">
        <v>254</v>
      </c>
      <c r="B254" s="88" t="str">
        <f>HLOOKUP(Introduzione!$B$9,$C:$G,$A254,FALSE)</f>
      </c>
      <c r="C254" s="88" t="s">
        <v>799</v>
      </c>
      <c r="D254" s="88" t="s">
        <v>800</v>
      </c>
      <c r="E254" s="88" t="s">
        <v>801</v>
      </c>
      <c r="F254" s="88" t="s">
        <v>802</v>
      </c>
    </row>
    <row r="255" spans="1:6">
      <c r="A255" s="88">
        <v>255</v>
      </c>
      <c r="B255" s="88" t="str">
        <f>HLOOKUP(Introduzione!$B$9,$C:$G,$A255,FALSE)</f>
      </c>
      <c r="C255" s="88" t="s">
        <v>787</v>
      </c>
      <c r="D255" s="88" t="s">
        <v>788</v>
      </c>
      <c r="E255" s="88" t="s">
        <v>789</v>
      </c>
      <c r="F255" s="88" t="s">
        <v>790</v>
      </c>
    </row>
    <row r="256" spans="1:6">
      <c r="A256" s="88">
        <v>256</v>
      </c>
      <c r="B256" s="88" t="str">
        <f>HLOOKUP(Introduzione!$B$9,$C:$G,$A256,FALSE)</f>
      </c>
      <c r="C256" s="88" t="s">
        <v>791</v>
      </c>
      <c r="D256" s="88" t="s">
        <v>792</v>
      </c>
      <c r="E256" s="88" t="s">
        <v>793</v>
      </c>
      <c r="F256" s="88" t="s">
        <v>794</v>
      </c>
    </row>
    <row r="257" spans="1:6">
      <c r="A257" s="88">
        <v>257</v>
      </c>
      <c r="B257" s="88" t="str">
        <f>HLOOKUP(Introduzione!$B$9,$C:$G,$A257,FALSE)</f>
      </c>
      <c r="C257" s="88" t="s">
        <v>795</v>
      </c>
      <c r="D257" s="88" t="s">
        <v>796</v>
      </c>
      <c r="E257" s="88" t="s">
        <v>797</v>
      </c>
      <c r="F257" s="88" t="s">
        <v>798</v>
      </c>
    </row>
    <row r="258" spans="1:6">
      <c r="A258" s="88">
        <v>258</v>
      </c>
      <c r="B258" s="88" t="str">
        <f>HLOOKUP(Introduzione!$B$9,$C:$G,$A258,FALSE)</f>
      </c>
      <c r="C258" s="88" t="s">
        <v>803</v>
      </c>
      <c r="D258" s="88" t="s">
        <v>804</v>
      </c>
      <c r="E258" s="88" t="s">
        <v>805</v>
      </c>
      <c r="F258" s="88" t="s">
        <v>806</v>
      </c>
    </row>
    <row r="259" spans="1:6">
      <c r="A259" s="88">
        <v>259</v>
      </c>
      <c r="B259" s="88" t="str">
        <f>HLOOKUP(Introduzione!$B$9,$C:$G,$A259,FALSE)</f>
      </c>
      <c r="C259" s="88" t="s">
        <v>787</v>
      </c>
      <c r="D259" s="88" t="s">
        <v>807</v>
      </c>
      <c r="E259" s="88" t="s">
        <v>808</v>
      </c>
      <c r="F259" s="88" t="s">
        <v>790</v>
      </c>
    </row>
    <row r="260" spans="1:6">
      <c r="A260" s="88">
        <v>260</v>
      </c>
      <c r="B260" s="88" t="str">
        <f>HLOOKUP(Introduzione!$B$9,$C:$G,$A260,FALSE)</f>
      </c>
      <c r="C260" s="88" t="s">
        <v>809</v>
      </c>
      <c r="D260" s="88" t="s">
        <v>810</v>
      </c>
      <c r="E260" s="88" t="s">
        <v>811</v>
      </c>
      <c r="F260" s="88" t="s">
        <v>812</v>
      </c>
    </row>
    <row r="261" spans="1:6">
      <c r="A261" s="88">
        <v>261</v>
      </c>
      <c r="B261" s="88" t="str">
        <f>HLOOKUP(Introduzione!$B$9,$C:$G,$A261,FALSE)</f>
      </c>
      <c r="C261" s="88" t="s">
        <v>813</v>
      </c>
      <c r="D261" s="88" t="s">
        <v>814</v>
      </c>
      <c r="E261" s="88" t="s">
        <v>815</v>
      </c>
      <c r="F261" s="88" t="s">
        <v>816</v>
      </c>
    </row>
    <row r="262" spans="1:6">
      <c r="A262" s="88">
        <v>262</v>
      </c>
      <c r="B262" s="88" t="str">
        <f>HLOOKUP(Introduzione!$B$9,$C:$G,$A262,FALSE)</f>
      </c>
      <c r="C262" s="88" t="s">
        <v>817</v>
      </c>
      <c r="D262" s="88" t="s">
        <v>818</v>
      </c>
      <c r="E262" s="88" t="s">
        <v>819</v>
      </c>
      <c r="F262" s="88" t="s">
        <v>820</v>
      </c>
    </row>
    <row r="263" spans="1:6">
      <c r="A263" s="88">
        <v>263</v>
      </c>
      <c r="B263" s="88" t="str">
        <f>HLOOKUP(Introduzione!$B$9,$C:$G,$A263,FALSE)</f>
      </c>
      <c r="C263" s="88" t="s">
        <v>821</v>
      </c>
      <c r="D263" s="88" t="s">
        <v>822</v>
      </c>
      <c r="E263" s="88" t="s">
        <v>823</v>
      </c>
      <c r="F263" s="88" t="s">
        <v>824</v>
      </c>
    </row>
    <row r="264" spans="1:6">
      <c r="A264" s="88">
        <v>264</v>
      </c>
      <c r="B264" s="88" t="str">
        <f>HLOOKUP(Introduzione!$B$9,$C:$G,$A264,FALSE)</f>
      </c>
      <c r="C264" s="88" t="s">
        <v>331</v>
      </c>
      <c r="D264" s="88" t="s">
        <v>825</v>
      </c>
      <c r="E264" s="88" t="s">
        <v>826</v>
      </c>
      <c r="F264" s="88" t="s">
        <v>827</v>
      </c>
    </row>
    <row r="265" spans="1:6">
      <c r="A265" s="88">
        <v>265</v>
      </c>
      <c r="B265" s="88" t="str">
        <f>HLOOKUP(Introduzione!$B$9,$C:$G,$A265,FALSE)</f>
      </c>
      <c r="C265" s="88" t="s">
        <v>828</v>
      </c>
      <c r="D265" s="88" t="s">
        <v>829</v>
      </c>
      <c r="E265" s="88" t="s">
        <v>830</v>
      </c>
      <c r="F265" s="88" t="s">
        <v>831</v>
      </c>
    </row>
    <row r="266" spans="1:6">
      <c r="A266" s="88">
        <v>266</v>
      </c>
      <c r="B266" s="88" t="str">
        <f>HLOOKUP(Introduzione!$B$9,$C:$G,$A266,FALSE)</f>
      </c>
      <c r="C266" s="88" t="s">
        <v>832</v>
      </c>
      <c r="D266" s="88" t="s">
        <v>833</v>
      </c>
      <c r="E266" s="88" t="s">
        <v>834</v>
      </c>
      <c r="F266" s="88" t="s">
        <v>835</v>
      </c>
    </row>
    <row r="267" spans="1:6">
      <c r="A267" s="88">
        <v>267</v>
      </c>
      <c r="B267" s="88" t="str">
        <f>HLOOKUP(Introduzione!$B$9,$C:$G,$A267,FALSE)</f>
      </c>
      <c r="C267" s="88" t="s">
        <v>836</v>
      </c>
      <c r="D267" s="88" t="s">
        <v>837</v>
      </c>
      <c r="E267" s="88" t="s">
        <v>838</v>
      </c>
      <c r="F267" s="88" t="s">
        <v>839</v>
      </c>
    </row>
    <row r="268" spans="1:6">
      <c r="A268" s="88">
        <v>268</v>
      </c>
      <c r="B268" s="88" t="str">
        <f>HLOOKUP(Introduzione!$B$9,$C:$G,$A268,FALSE)</f>
      </c>
      <c r="C268" s="88" t="s">
        <v>840</v>
      </c>
      <c r="D268" s="88" t="s">
        <v>841</v>
      </c>
      <c r="E268" s="88" t="s">
        <v>842</v>
      </c>
      <c r="F268" s="88" t="s">
        <v>843</v>
      </c>
    </row>
    <row r="269" spans="1:6">
      <c r="A269" s="88">
        <v>269</v>
      </c>
      <c r="B269" s="88" t="str">
        <f>HLOOKUP(Introduzione!$B$9,$C:$G,$A269,FALSE)</f>
      </c>
      <c r="C269" s="88" t="s">
        <v>844</v>
      </c>
      <c r="D269" s="88" t="s">
        <v>845</v>
      </c>
      <c r="E269" s="88" t="s">
        <v>846</v>
      </c>
      <c r="F269" s="88" t="s">
        <v>847</v>
      </c>
    </row>
    <row r="270" spans="1:6">
      <c r="A270" s="88">
        <v>270</v>
      </c>
      <c r="B270" s="88" t="str">
        <f>HLOOKUP(Introduzione!$B$9,$C:$G,$A270,FALSE)</f>
      </c>
      <c r="C270" s="88" t="s">
        <v>848</v>
      </c>
      <c r="D270" s="88" t="s">
        <v>849</v>
      </c>
      <c r="E270" s="88" t="s">
        <v>850</v>
      </c>
      <c r="F270" s="88" t="s">
        <v>851</v>
      </c>
    </row>
    <row r="271" spans="1:6">
      <c r="A271" s="88">
        <v>271</v>
      </c>
      <c r="B271" s="88" t="str">
        <f>HLOOKUP(Introduzione!$B$9,$C:$G,$A271,FALSE)</f>
      </c>
      <c r="C271" s="88" t="s">
        <v>852</v>
      </c>
      <c r="D271" s="88" t="s">
        <v>853</v>
      </c>
      <c r="E271" s="88" t="s">
        <v>850</v>
      </c>
      <c r="F271" s="88" t="s">
        <v>854</v>
      </c>
    </row>
    <row r="272" spans="1:6">
      <c r="A272" s="88">
        <v>272</v>
      </c>
      <c r="B272" s="88" t="str">
        <f>HLOOKUP(Introduzione!$B$9,$C:$G,$A272,FALSE)</f>
      </c>
      <c r="C272" s="88" t="s">
        <v>855</v>
      </c>
      <c r="D272" s="88" t="s">
        <v>856</v>
      </c>
      <c r="E272" s="88" t="s">
        <v>857</v>
      </c>
      <c r="F272" s="88" t="s">
        <v>858</v>
      </c>
    </row>
    <row r="273" spans="1:6">
      <c r="A273" s="88">
        <v>273</v>
      </c>
      <c r="B273" s="88" t="str">
        <f>HLOOKUP(Introduzione!$B$9,$C:$G,$A273,FALSE)</f>
      </c>
      <c r="C273" s="88" t="s">
        <v>859</v>
      </c>
      <c r="D273" s="88" t="s">
        <v>860</v>
      </c>
      <c r="E273" s="88" t="s">
        <v>861</v>
      </c>
      <c r="F273" s="88" t="s">
        <v>862</v>
      </c>
    </row>
    <row r="274" spans="1:6">
      <c r="A274" s="88">
        <v>274</v>
      </c>
      <c r="B274" s="88" t="str">
        <f>HLOOKUP(Introduzione!$B$9,$C:$G,$A274,FALSE)</f>
      </c>
      <c r="C274" s="88" t="s">
        <v>863</v>
      </c>
      <c r="D274" s="88" t="s">
        <v>864</v>
      </c>
      <c r="E274" s="88" t="s">
        <v>865</v>
      </c>
      <c r="F274" s="88" t="s">
        <v>866</v>
      </c>
    </row>
    <row r="275" spans="1:6">
      <c r="A275" s="88">
        <v>275</v>
      </c>
      <c r="B275" s="88" t="str">
        <f>HLOOKUP(Introduzione!$B$9,$C:$G,$A275,FALSE)</f>
      </c>
      <c r="C275" s="88" t="s">
        <v>867</v>
      </c>
      <c r="D275" s="88" t="s">
        <v>868</v>
      </c>
      <c r="E275" s="88" t="s">
        <v>758</v>
      </c>
      <c r="F275" s="88" t="s">
        <v>869</v>
      </c>
    </row>
    <row r="276" spans="1:6">
      <c r="A276" s="88">
        <v>276</v>
      </c>
      <c r="B276" s="88" t="str">
        <f>HLOOKUP(Introduzione!$B$9,$C:$G,$A276,FALSE)</f>
      </c>
      <c r="C276" s="88" t="str">
        <f>IF('Le mie risposte'!$D$7="B.V.","Winst uit onderneming","Mutatie Eigen Vermogen")</f>
      </c>
      <c r="D276" s="88" t="str">
        <f>IF('Le mie risposte'!$D$7="B.V.","Profit","Changes in Equity")</f>
      </c>
      <c r="E276" s="88" t="s">
        <v>870</v>
      </c>
      <c r="F276" s="88" t="s">
        <v>871</v>
      </c>
    </row>
    <row r="277" spans="1:6">
      <c r="A277" s="88">
        <v>277</v>
      </c>
      <c r="B277" s="88" t="str">
        <f>HLOOKUP(Introduzione!$B$9,$C:$G,$A277,FALSE)</f>
      </c>
      <c r="C277" s="88" t="s">
        <v>872</v>
      </c>
      <c r="D277" s="88" t="s">
        <v>873</v>
      </c>
      <c r="E277" s="88" t="s">
        <v>874</v>
      </c>
      <c r="F277" s="88" t="s">
        <v>875</v>
      </c>
    </row>
    <row r="278" spans="1:6">
      <c r="A278" s="88">
        <v>278</v>
      </c>
      <c r="B278" s="88" t="str">
        <f>HLOOKUP(Introduzione!$B$9,$C:$G,$A278,FALSE)</f>
      </c>
      <c r="C278" s="88" t="s">
        <v>876</v>
      </c>
      <c r="D278" s="88" t="s">
        <v>877</v>
      </c>
      <c r="E278" s="88" t="s">
        <v>878</v>
      </c>
      <c r="F278" s="88" t="s">
        <v>879</v>
      </c>
    </row>
    <row r="279" spans="1:6">
      <c r="A279" s="88">
        <v>279</v>
      </c>
      <c r="B279" s="88" t="str">
        <f>HLOOKUP(Introduzione!$B$9,$C:$G,$A279,FALSE)</f>
      </c>
      <c r="C279" s="88" t="s">
        <v>832</v>
      </c>
      <c r="D279" s="88" t="s">
        <v>833</v>
      </c>
      <c r="E279" s="88" t="s">
        <v>880</v>
      </c>
      <c r="F279" s="88" t="s">
        <v>835</v>
      </c>
    </row>
    <row r="280" spans="1:6">
      <c r="A280" s="88">
        <v>280</v>
      </c>
      <c r="B280" s="88" t="str">
        <f>HLOOKUP(Introduzione!$B$9,$C:$G,$A280,FALSE)</f>
      </c>
      <c r="C280" s="88" t="s">
        <v>881</v>
      </c>
      <c r="D280" s="88" t="s">
        <v>882</v>
      </c>
      <c r="E280" s="88" t="s">
        <v>883</v>
      </c>
      <c r="F280" s="88" t="s">
        <v>884</v>
      </c>
    </row>
    <row r="281" spans="1:6">
      <c r="A281" s="88">
        <v>281</v>
      </c>
      <c r="B281" s="88" t="str">
        <f>HLOOKUP(Introduzione!$B$9,$C:$G,$A281,FALSE)</f>
      </c>
      <c r="C281" s="88" t="s">
        <v>885</v>
      </c>
      <c r="D281" s="88" t="s">
        <v>886</v>
      </c>
      <c r="E281" s="88" t="s">
        <v>887</v>
      </c>
      <c r="F281" s="88" t="s">
        <v>888</v>
      </c>
    </row>
    <row r="282" spans="1:6">
      <c r="A282" s="88">
        <v>282</v>
      </c>
      <c r="B282" s="88" t="str">
        <f>HLOOKUP(Introduzione!$B$9,$C:$G,$A282,FALSE)</f>
      </c>
      <c r="C282" s="88" t="s">
        <v>889</v>
      </c>
      <c r="D282" s="88" t="s">
        <v>890</v>
      </c>
      <c r="E282" s="88" t="s">
        <v>891</v>
      </c>
      <c r="F282" s="88" t="s">
        <v>892</v>
      </c>
    </row>
    <row r="283" spans="1:6">
      <c r="A283" s="88">
        <v>283</v>
      </c>
      <c r="B283" s="88" t="str">
        <f>HLOOKUP(Introduzione!$B$9,$C:$G,$A283,FALSE)</f>
      </c>
      <c r="C283" s="88" t="s">
        <v>893</v>
      </c>
      <c r="D283" s="88" t="s">
        <v>894</v>
      </c>
      <c r="E283" s="88" t="s">
        <v>895</v>
      </c>
      <c r="F283" s="88" t="s">
        <v>896</v>
      </c>
    </row>
    <row r="284" spans="1:6">
      <c r="A284" s="88">
        <v>284</v>
      </c>
      <c r="B284" s="88" t="str">
        <f>HLOOKUP(Introduzione!$B$9,$C:$G,$A284,FALSE)</f>
      </c>
      <c r="C284" s="88" t="s">
        <v>642</v>
      </c>
      <c r="D284" s="88" t="s">
        <v>643</v>
      </c>
      <c r="E284" s="88" t="s">
        <v>644</v>
      </c>
      <c r="F284" s="88" t="s">
        <v>645</v>
      </c>
    </row>
    <row r="285" spans="1:6">
      <c r="A285" s="88">
        <v>285</v>
      </c>
      <c r="B285" s="88" t="str">
        <f>HLOOKUP(Introduzione!$B$9,$C:$G,$A285,FALSE)</f>
      </c>
      <c r="C285" s="88" t="s">
        <v>646</v>
      </c>
      <c r="D285" s="88" t="s">
        <v>647</v>
      </c>
      <c r="E285" s="88" t="s">
        <v>648</v>
      </c>
      <c r="F285" s="88" t="s">
        <v>649</v>
      </c>
    </row>
    <row r="286" spans="1:6">
      <c r="A286" s="88">
        <v>286</v>
      </c>
      <c r="B286" s="88" t="str">
        <f>HLOOKUP(Introduzione!$B$9,$C:$G,$A286,FALSE)</f>
      </c>
      <c r="C286" s="88" t="s">
        <v>897</v>
      </c>
      <c r="D286" s="88" t="s">
        <v>898</v>
      </c>
      <c r="E286" s="88" t="s">
        <v>899</v>
      </c>
      <c r="F286" s="88" t="s">
        <v>900</v>
      </c>
    </row>
    <row r="287" spans="1:6">
      <c r="A287" s="88">
        <v>287</v>
      </c>
      <c r="B287" s="88" t="str">
        <f>HLOOKUP(Introduzione!$B$9,$C:$G,$A287,FALSE)</f>
      </c>
      <c r="C287" s="88" t="s">
        <v>897</v>
      </c>
      <c r="D287" s="88" t="s">
        <v>898</v>
      </c>
      <c r="E287" s="88" t="s">
        <v>899</v>
      </c>
      <c r="F287" s="88" t="s">
        <v>900</v>
      </c>
    </row>
    <row r="288" spans="1:6">
      <c r="A288" s="88">
        <v>288</v>
      </c>
      <c r="B288" s="88" t="str">
        <f>HLOOKUP(Introduzione!$B$9,$C:$G,$A288,FALSE)</f>
      </c>
      <c r="C288" s="88" t="s">
        <v>901</v>
      </c>
      <c r="D288" s="88" t="s">
        <v>902</v>
      </c>
      <c r="E288" s="88" t="s">
        <v>903</v>
      </c>
      <c r="F288" s="88" t="s">
        <v>904</v>
      </c>
    </row>
    <row r="289" spans="1:6">
      <c r="A289" s="88">
        <v>289</v>
      </c>
      <c r="B289" s="88" t="str">
        <f>HLOOKUP(Introduzione!$B$9,$C:$G,$A289,FALSE)</f>
      </c>
      <c r="C289" s="88" t="s">
        <v>905</v>
      </c>
      <c r="D289" s="88" t="s">
        <v>906</v>
      </c>
      <c r="E289" s="88" t="s">
        <v>907</v>
      </c>
      <c r="F289" s="88" t="s">
        <v>908</v>
      </c>
    </row>
    <row r="290" spans="1:6">
      <c r="A290" s="88">
        <v>290</v>
      </c>
      <c r="B290" s="88" t="str">
        <f>HLOOKUP(Introduzione!$B$9,$C:$G,$A290,FALSE)</f>
      </c>
      <c r="C290" s="88" t="s">
        <v>909</v>
      </c>
      <c r="D290" s="88" t="s">
        <v>910</v>
      </c>
      <c r="E290" s="88" t="s">
        <v>911</v>
      </c>
      <c r="F290" s="88" t="s">
        <v>912</v>
      </c>
    </row>
    <row r="291" spans="1:6">
      <c r="A291" s="88">
        <v>291</v>
      </c>
      <c r="B291" s="88" t="str">
        <f>HLOOKUP(Introduzione!$B$9,$C:$G,$A291,FALSE)</f>
      </c>
      <c r="C291" s="88" t="s">
        <v>913</v>
      </c>
      <c r="D291" s="88" t="s">
        <v>914</v>
      </c>
      <c r="E291" s="88" t="s">
        <v>915</v>
      </c>
      <c r="F291" s="88" t="s">
        <v>916</v>
      </c>
    </row>
    <row r="292" spans="1:6">
      <c r="A292" s="88">
        <v>292</v>
      </c>
      <c r="B292" s="88" t="str">
        <f>HLOOKUP(Introduzione!$B$9,$C:$G,$A292,FALSE)</f>
      </c>
      <c r="C292" s="88" t="s">
        <v>917</v>
      </c>
      <c r="D292" s="88" t="s">
        <v>619</v>
      </c>
      <c r="E292" s="88" t="s">
        <v>620</v>
      </c>
      <c r="F292" s="88" t="s">
        <v>621</v>
      </c>
    </row>
    <row r="293" spans="1:6">
      <c r="A293" s="88">
        <v>293</v>
      </c>
      <c r="B293" s="88" t="str">
        <f>HLOOKUP(Introduzione!$B$9,$C:$G,$A293,FALSE)</f>
      </c>
      <c r="C293" s="88" t="s">
        <v>918</v>
      </c>
      <c r="D293" s="88" t="s">
        <v>919</v>
      </c>
      <c r="E293" s="88" t="s">
        <v>920</v>
      </c>
      <c r="F293" s="88" t="s">
        <v>921</v>
      </c>
    </row>
    <row r="294" spans="1:6">
      <c r="A294" s="88">
        <v>294</v>
      </c>
      <c r="B294" s="88" t="str">
        <f>HLOOKUP(Introduzione!$B$9,$C:$G,$A294,FALSE)</f>
      </c>
      <c r="C294" s="88" t="s">
        <v>922</v>
      </c>
      <c r="D294" s="88" t="s">
        <v>923</v>
      </c>
      <c r="E294" s="88" t="s">
        <v>924</v>
      </c>
      <c r="F294" s="88" t="s">
        <v>925</v>
      </c>
    </row>
    <row r="295" spans="1:6">
      <c r="A295" s="88">
        <v>295</v>
      </c>
      <c r="B295" s="88" t="str">
        <f>HLOOKUP(Introduzione!$B$9,$C:$G,$A295,FALSE)</f>
      </c>
      <c r="C295" s="88" t="s">
        <v>926</v>
      </c>
      <c r="D295" s="88" t="s">
        <v>927</v>
      </c>
      <c r="E295" s="88" t="s">
        <v>928</v>
      </c>
      <c r="F295" s="88" t="s">
        <v>929</v>
      </c>
    </row>
    <row r="296" spans="1:6">
      <c r="A296" s="88">
        <v>296</v>
      </c>
      <c r="B296" s="88" t="str">
        <f>HLOOKUP(Introduzione!$B$9,$C:$G,$A296,FALSE)</f>
      </c>
      <c r="C296" s="88" t="s">
        <v>930</v>
      </c>
      <c r="D296" s="88" t="s">
        <v>931</v>
      </c>
      <c r="E296" s="88" t="s">
        <v>932</v>
      </c>
      <c r="F296" s="88" t="s">
        <v>933</v>
      </c>
    </row>
    <row r="297" spans="1:6">
      <c r="A297" s="88">
        <v>297</v>
      </c>
      <c r="B297" s="88" t="str">
        <f>HLOOKUP(Introduzione!$B$9,$C:$G,$A297,FALSE)</f>
      </c>
      <c r="C297" s="88" t="s">
        <v>934</v>
      </c>
      <c r="D297" s="88" t="s">
        <v>935</v>
      </c>
      <c r="E297" s="88" t="s">
        <v>936</v>
      </c>
      <c r="F297" s="88" t="s">
        <v>937</v>
      </c>
    </row>
    <row r="298" spans="1:6">
      <c r="A298" s="88">
        <v>298</v>
      </c>
      <c r="B298" s="88" t="str">
        <f>HLOOKUP(Introduzione!$B$9,$C:$G,$A298,FALSE)</f>
      </c>
      <c r="C298" s="88" t="s">
        <v>938</v>
      </c>
      <c r="D298" s="88" t="s">
        <v>939</v>
      </c>
      <c r="E298" s="88" t="s">
        <v>940</v>
      </c>
      <c r="F298" s="88" t="s">
        <v>941</v>
      </c>
    </row>
    <row r="299" spans="1:6">
      <c r="A299" s="88">
        <v>299</v>
      </c>
      <c r="B299" s="88" t="str">
        <f>HLOOKUP(Introduzione!$B$9,$C:$G,$A299,FALSE)</f>
      </c>
      <c r="C299" s="88" t="s">
        <v>942</v>
      </c>
      <c r="D299" s="88" t="s">
        <v>943</v>
      </c>
      <c r="E299" s="88" t="s">
        <v>944</v>
      </c>
      <c r="F299" s="88" t="s">
        <v>945</v>
      </c>
    </row>
    <row r="300" spans="1:6">
      <c r="A300" s="88">
        <v>300</v>
      </c>
      <c r="B300" s="88" t="str">
        <f>HLOOKUP(Introduzione!$B$9,$C:$G,$A300,FALSE)</f>
      </c>
      <c r="C300" s="88" t="s">
        <v>946</v>
      </c>
      <c r="D300" s="88" t="s">
        <v>947</v>
      </c>
      <c r="E300" s="88" t="s">
        <v>948</v>
      </c>
      <c r="F300" s="88" t="s">
        <v>949</v>
      </c>
    </row>
    <row r="301" spans="1:6">
      <c r="A301" s="88">
        <v>301</v>
      </c>
      <c r="B301" s="88" t="str">
        <f>HLOOKUP(Introduzione!$B$9,$C:$G,$A301,FALSE)</f>
      </c>
      <c r="C301" s="88" t="s">
        <v>926</v>
      </c>
      <c r="D301" s="88" t="s">
        <v>927</v>
      </c>
      <c r="E301" s="88" t="s">
        <v>950</v>
      </c>
      <c r="F301" s="88" t="s">
        <v>951</v>
      </c>
    </row>
    <row r="302" spans="1:6">
      <c r="A302" s="88">
        <v>302</v>
      </c>
      <c r="B302" s="88" t="str">
        <f>HLOOKUP(Introduzione!$B$9,$C:$G,$A302,FALSE)</f>
      </c>
      <c r="C302" s="88" t="s">
        <v>917</v>
      </c>
      <c r="D302" s="88" t="s">
        <v>619</v>
      </c>
      <c r="E302" s="88" t="s">
        <v>620</v>
      </c>
      <c r="F302" s="88" t="s">
        <v>621</v>
      </c>
    </row>
    <row r="303" spans="1:6">
      <c r="A303" s="88">
        <v>303</v>
      </c>
      <c r="B303" s="88" t="str">
        <f>HLOOKUP(Introduzione!$B$9,$C:$G,$A303,FALSE)</f>
      </c>
      <c r="C303" s="88" t="s">
        <v>952</v>
      </c>
      <c r="D303" s="88" t="s">
        <v>953</v>
      </c>
      <c r="E303" s="88" t="s">
        <v>954</v>
      </c>
      <c r="F303" s="88" t="s">
        <v>955</v>
      </c>
    </row>
    <row r="304" spans="1:6">
      <c r="A304" s="88">
        <v>304</v>
      </c>
      <c r="B304" s="88" t="str">
        <f>HLOOKUP(Introduzione!$B$9,$C:$G,$A304,FALSE)</f>
      </c>
      <c r="C304" s="88" t="s">
        <v>1840</v>
      </c>
      <c r="D304" s="88" t="str">
        <f>IF('Oneri mensili'!$C$10="Annuity","Amount annuity",IF('Oneri mensili'!$C$10="Linear","Amount mothly redemption",""))</f>
      </c>
      <c r="E304" s="88" t="s">
        <v>954</v>
      </c>
      <c r="F304" s="408" t="s">
        <v>1837</v>
      </c>
    </row>
    <row r="305" spans="1:6">
      <c r="A305" s="88">
        <v>305</v>
      </c>
      <c r="B305" s="88" t="str">
        <f>HLOOKUP(Introduzione!$B$9,$C:$G,$A305,FALSE)</f>
      </c>
      <c r="C305" s="88" t="s">
        <v>956</v>
      </c>
      <c r="D305" s="88" t="s">
        <v>957</v>
      </c>
      <c r="E305" s="88" t="s">
        <v>958</v>
      </c>
      <c r="F305" s="88" t="s">
        <v>959</v>
      </c>
    </row>
    <row r="306" spans="1:6">
      <c r="A306" s="88">
        <v>306</v>
      </c>
      <c r="B306" s="88" t="str">
        <f>HLOOKUP(Introduzione!$B$9,$C:$G,$A306,FALSE)</f>
      </c>
      <c r="C306" s="88" t="s">
        <v>960</v>
      </c>
      <c r="D306" s="88" t="s">
        <v>961</v>
      </c>
      <c r="E306" s="88" t="s">
        <v>962</v>
      </c>
      <c r="F306" s="88" t="s">
        <v>963</v>
      </c>
    </row>
    <row r="307" spans="1:6">
      <c r="A307" s="88">
        <v>307</v>
      </c>
      <c r="B307" s="88" t="str">
        <f>HLOOKUP(Introduzione!$B$9,$C:$G,$A307,FALSE)</f>
      </c>
      <c r="C307" s="88" t="s">
        <v>964</v>
      </c>
      <c r="D307" s="88" t="s">
        <v>965</v>
      </c>
      <c r="E307" s="88" t="s">
        <v>966</v>
      </c>
      <c r="F307" s="88" t="s">
        <v>967</v>
      </c>
    </row>
    <row r="308" spans="1:6">
      <c r="A308" s="88">
        <v>308</v>
      </c>
      <c r="B308" s="88" t="str">
        <f>HLOOKUP(Introduzione!$B$9,$C:$G,$A308,FALSE)</f>
      </c>
      <c r="C308" s="88" t="s">
        <v>968</v>
      </c>
      <c r="D308" s="88" t="s">
        <v>969</v>
      </c>
      <c r="E308" s="88" t="s">
        <v>970</v>
      </c>
      <c r="F308" s="88" t="s">
        <v>971</v>
      </c>
    </row>
    <row r="309" spans="1:6">
      <c r="A309" s="88">
        <v>309</v>
      </c>
      <c r="B309" s="88" t="str">
        <f>HLOOKUP(Introduzione!$B$9,$C:$G,$A309,FALSE)</f>
      </c>
      <c r="C309" s="88" t="s">
        <v>972</v>
      </c>
      <c r="D309" s="88" t="s">
        <v>973</v>
      </c>
      <c r="E309" s="88" t="s">
        <v>974</v>
      </c>
      <c r="F309" s="88" t="s">
        <v>625</v>
      </c>
    </row>
    <row r="310" spans="1:6">
      <c r="A310" s="88">
        <v>310</v>
      </c>
      <c r="B310" s="88" t="str">
        <f>HLOOKUP(Introduzione!$B$9,$C:$G,$A310,FALSE)</f>
      </c>
      <c r="C310" s="88" t="s">
        <v>975</v>
      </c>
      <c r="D310" s="88" t="s">
        <v>976</v>
      </c>
      <c r="E310" s="88" t="s">
        <v>977</v>
      </c>
      <c r="F310" s="88" t="s">
        <v>978</v>
      </c>
    </row>
    <row r="311" spans="1:6" ht="38.25">
      <c r="A311" s="88">
        <v>311</v>
      </c>
      <c r="B311" s="88" t="str">
        <f>HLOOKUP(Introduzione!$B$9,$C:$G,$A311,FALSE)</f>
      </c>
      <c r="C311" s="88" t="s">
        <v>979</v>
      </c>
      <c r="D311" s="88" t="s">
        <v>980</v>
      </c>
      <c r="E311" s="88" t="s">
        <v>981</v>
      </c>
      <c r="F311" s="88" t="s">
        <v>982</v>
      </c>
    </row>
    <row r="312" spans="1:6">
      <c r="A312" s="88">
        <v>312</v>
      </c>
      <c r="B312" s="88" t="str">
        <f>HLOOKUP(Introduzione!$B$9,$C:$G,$A312,FALSE)</f>
      </c>
      <c r="C312" s="88" t="s">
        <v>983</v>
      </c>
      <c r="D312" s="88" t="s">
        <v>984</v>
      </c>
      <c r="E312" s="88" t="s">
        <v>985</v>
      </c>
      <c r="F312" s="88" t="s">
        <v>986</v>
      </c>
    </row>
    <row r="313" spans="1:6" ht="51">
      <c r="A313" s="88">
        <v>313</v>
      </c>
      <c r="B313" s="88" t="str">
        <f>HLOOKUP(Introduzione!$B$9,$C:$G,$A313,FALSE)</f>
      </c>
      <c r="C313" s="88" t="s">
        <v>987</v>
      </c>
      <c r="D313" s="88" t="s">
        <v>988</v>
      </c>
      <c r="E313" s="88" t="s">
        <v>989</v>
      </c>
      <c r="F313" s="88" t="s">
        <v>990</v>
      </c>
    </row>
    <row r="314" spans="1:6">
      <c r="A314" s="88">
        <v>314</v>
      </c>
      <c r="B314" s="88" t="e">
        <f>HLOOKUP(Introduzione!$B$9,$C:$G,$A314,FALSE)</f>
      </c>
      <c r="E314" s="88" t="s">
        <v>991</v>
      </c>
      <c r="F314" s="88" t="e">
        <v>#N/A</v>
      </c>
    </row>
    <row r="315" spans="1:6" ht="51">
      <c r="A315" s="88">
        <v>315</v>
      </c>
      <c r="B315" s="88" t="str">
        <f>HLOOKUP(Introduzione!$B$9,$C:$G,$A315,FALSE)</f>
      </c>
      <c r="D315" s="88" t="s">
        <v>992</v>
      </c>
      <c r="F315" s="358" t="s">
        <v>993</v>
      </c>
    </row>
    <row r="316" spans="1:6" ht="63.75">
      <c r="A316" s="88">
        <v>316</v>
      </c>
      <c r="B316" s="88" t="str">
        <f>HLOOKUP(Introduzione!$B$9,$C:$G,$A316,FALSE)</f>
      </c>
      <c r="D316" s="88" t="s">
        <v>994</v>
      </c>
      <c r="F316" s="88" t="s">
        <v>1860</v>
      </c>
    </row>
    <row r="317" spans="1:6" ht="13.5" customHeight="1">
      <c r="A317" s="88">
        <v>317</v>
      </c>
      <c r="B317" s="88" t="str">
        <f>HLOOKUP(Introduzione!$B$9,$C:$G,$A317,FALSE)</f>
      </c>
      <c r="C317" s="88" t="s">
        <v>1629</v>
      </c>
      <c r="D317" s="88" t="s">
        <v>1630</v>
      </c>
      <c r="E317" s="88" t="s">
        <v>1631</v>
      </c>
      <c r="F317" s="88" t="s">
        <v>1632</v>
      </c>
    </row>
    <row r="318" spans="1:6" ht="13.5" customHeight="1">
      <c r="A318" s="88">
        <v>318</v>
      </c>
      <c r="B318" s="88" t="str">
        <f>HLOOKUP(Introduzione!$B$9,$C:$G,$A318,FALSE)</f>
      </c>
      <c r="C318" s="88" t="s">
        <v>1633</v>
      </c>
      <c r="D318" s="88" t="s">
        <v>1634</v>
      </c>
      <c r="E318" s="88" t="s">
        <v>1635</v>
      </c>
      <c r="F318" s="88" t="s">
        <v>1636</v>
      </c>
    </row>
    <row r="319" spans="1:6" ht="13.5" customHeight="1">
      <c r="A319" s="88">
        <v>319</v>
      </c>
      <c r="B319" s="88" t="str">
        <f>HLOOKUP(Introduzione!$B$9,$C:$G,$A319,FALSE)</f>
      </c>
      <c r="C319" s="88" t="s">
        <v>1637</v>
      </c>
      <c r="D319" s="88" t="s">
        <v>1638</v>
      </c>
      <c r="E319" s="88" t="s">
        <v>1639</v>
      </c>
      <c r="F319" s="88" t="s">
        <v>1640</v>
      </c>
    </row>
    <row r="320" spans="1:6" ht="13.5" customHeight="1">
      <c r="A320" s="88">
        <v>320</v>
      </c>
      <c r="B320" s="88" t="str">
        <f>HLOOKUP(Introduzione!$B$9,$C:$G,$A320,FALSE)</f>
      </c>
      <c r="C320" s="88" t="s">
        <v>1641</v>
      </c>
      <c r="D320" s="88" t="s">
        <v>1642</v>
      </c>
      <c r="E320" s="88" t="s">
        <v>1643</v>
      </c>
      <c r="F320" s="88" t="s">
        <v>1644</v>
      </c>
    </row>
    <row r="321" spans="1:6" ht="13.5" customHeight="1">
      <c r="A321" s="88">
        <v>321</v>
      </c>
      <c r="B321" s="88" t="str">
        <f>HLOOKUP(Introduzione!$B$9,$C:$G,$A321,FALSE)</f>
      </c>
      <c r="C321" s="88" t="s">
        <v>1645</v>
      </c>
      <c r="D321" s="88" t="s">
        <v>1646</v>
      </c>
      <c r="E321" s="88" t="s">
        <v>1647</v>
      </c>
      <c r="F321" s="88" t="s">
        <v>1648</v>
      </c>
    </row>
    <row r="322" spans="1:6" ht="13.5" customHeight="1">
      <c r="A322" s="88">
        <v>322</v>
      </c>
      <c r="B322" s="88" t="str">
        <f>HLOOKUP(Introduzione!$B$9,$C:$G,$A322,FALSE)</f>
      </c>
      <c r="C322" s="88" t="s">
        <v>1649</v>
      </c>
      <c r="D322" s="88" t="s">
        <v>1650</v>
      </c>
      <c r="E322" s="88" t="s">
        <v>1651</v>
      </c>
      <c r="F322" s="88" t="s">
        <v>1652</v>
      </c>
    </row>
    <row r="323" spans="1:6" ht="13.5" customHeight="1">
      <c r="A323" s="88">
        <v>323</v>
      </c>
      <c r="B323" s="88" t="str">
        <f>HLOOKUP(Introduzione!$B$9,$C:$G,$A323,FALSE)</f>
      </c>
      <c r="C323" s="88" t="s">
        <v>1653</v>
      </c>
      <c r="D323" s="88" t="s">
        <v>1654</v>
      </c>
      <c r="E323" s="88" t="s">
        <v>1655</v>
      </c>
      <c r="F323" s="88" t="s">
        <v>1656</v>
      </c>
    </row>
    <row r="324" spans="1:6" ht="13.5" customHeight="1">
      <c r="A324" s="88">
        <v>324</v>
      </c>
      <c r="B324" s="88" t="str">
        <f>HLOOKUP(Introduzione!$B$9,$C:$G,$A324,FALSE)</f>
      </c>
      <c r="C324" s="88" t="s">
        <v>1657</v>
      </c>
      <c r="D324" s="88" t="s">
        <v>1658</v>
      </c>
      <c r="E324" s="88" t="s">
        <v>1659</v>
      </c>
      <c r="F324" s="88" t="s">
        <v>1660</v>
      </c>
    </row>
    <row r="325" spans="1:6" ht="13.5" customHeight="1">
      <c r="A325" s="88">
        <v>325</v>
      </c>
      <c r="B325" s="88" t="str">
        <f>HLOOKUP(Introduzione!$B$9,$C:$G,$A325,FALSE)</f>
      </c>
      <c r="C325" s="88" t="s">
        <v>1661</v>
      </c>
      <c r="D325" s="88" t="s">
        <v>1662</v>
      </c>
      <c r="E325" s="88" t="s">
        <v>1663</v>
      </c>
      <c r="F325" s="88" t="s">
        <v>1664</v>
      </c>
    </row>
    <row r="326" spans="1:6" ht="13.5" customHeight="1">
      <c r="A326" s="88">
        <v>326</v>
      </c>
      <c r="B326" s="88" t="str">
        <f>HLOOKUP(Introduzione!$B$9,$C:$G,$A326,FALSE)</f>
      </c>
      <c r="C326" s="88" t="s">
        <v>1665</v>
      </c>
      <c r="D326" s="88" t="s">
        <v>1666</v>
      </c>
      <c r="E326" s="88" t="s">
        <v>1667</v>
      </c>
      <c r="F326" s="88" t="s">
        <v>1668</v>
      </c>
    </row>
    <row r="327" spans="1:6" ht="13.5" customHeight="1">
      <c r="A327" s="88">
        <v>327</v>
      </c>
      <c r="B327" s="88" t="str">
        <f>HLOOKUP(Introduzione!$B$9,$C:$G,$A327,FALSE)</f>
      </c>
      <c r="C327" s="88" t="s">
        <v>1669</v>
      </c>
      <c r="D327" s="88" t="s">
        <v>1670</v>
      </c>
      <c r="E327" s="88" t="s">
        <v>1671</v>
      </c>
      <c r="F327" s="88" t="s">
        <v>1672</v>
      </c>
    </row>
    <row r="328" spans="1:6" ht="13.5" customHeight="1">
      <c r="A328" s="88">
        <v>328</v>
      </c>
      <c r="B328" s="88" t="str">
        <f>HLOOKUP(Introduzione!$B$9,$C:$G,$A328,FALSE)</f>
      </c>
      <c r="C328" s="88" t="s">
        <v>1673</v>
      </c>
      <c r="D328" s="88" t="s">
        <v>1674</v>
      </c>
      <c r="E328" s="88" t="s">
        <v>1675</v>
      </c>
      <c r="F328" s="88" t="s">
        <v>1676</v>
      </c>
    </row>
    <row r="329" spans="1:6" ht="13.5" customHeight="1">
      <c r="A329" s="88">
        <v>329</v>
      </c>
      <c r="B329" s="88" t="str">
        <f>HLOOKUP(Introduzione!$B$9,$C:$G,$A329,FALSE)</f>
      </c>
      <c r="C329" s="88" t="s">
        <v>1677</v>
      </c>
      <c r="D329" s="88" t="s">
        <v>1678</v>
      </c>
      <c r="E329" s="88" t="s">
        <v>1679</v>
      </c>
      <c r="F329" s="88" t="s">
        <v>1680</v>
      </c>
    </row>
    <row r="330" spans="1:6" ht="13.5" customHeight="1">
      <c r="A330" s="88">
        <v>330</v>
      </c>
      <c r="B330" s="88" t="str">
        <f>HLOOKUP(Introduzione!$B$9,$C:$G,$A330,FALSE)</f>
      </c>
      <c r="C330" s="88" t="s">
        <v>1681</v>
      </c>
      <c r="D330" s="88" t="s">
        <v>1682</v>
      </c>
      <c r="E330" s="88" t="s">
        <v>1683</v>
      </c>
      <c r="F330" s="88" t="s">
        <v>1684</v>
      </c>
    </row>
    <row r="331" spans="1:6" ht="13.5" customHeight="1">
      <c r="A331" s="88">
        <v>331</v>
      </c>
      <c r="B331" s="88" t="str">
        <f>HLOOKUP(Introduzione!$B$9,$C:$G,$A331,FALSE)</f>
      </c>
      <c r="C331" s="88" t="s">
        <v>1685</v>
      </c>
      <c r="D331" s="88" t="s">
        <v>1686</v>
      </c>
      <c r="E331" s="88" t="s">
        <v>1687</v>
      </c>
      <c r="F331" s="88" t="s">
        <v>1688</v>
      </c>
    </row>
    <row r="332" spans="1:6" ht="13.5" customHeight="1">
      <c r="A332" s="88">
        <v>332</v>
      </c>
      <c r="B332" s="88" t="str">
        <f>HLOOKUP(Introduzione!$B$9,$C:$G,$A332,FALSE)</f>
      </c>
      <c r="C332" s="88" t="s">
        <v>1689</v>
      </c>
      <c r="D332" s="88" t="s">
        <v>1690</v>
      </c>
      <c r="E332" s="88" t="s">
        <v>1691</v>
      </c>
      <c r="F332" s="88" t="s">
        <v>1692</v>
      </c>
    </row>
    <row r="333" spans="1:6" ht="13.5" customHeight="1">
      <c r="A333" s="88">
        <v>333</v>
      </c>
      <c r="B333" s="88" t="str">
        <f>HLOOKUP(Introduzione!$B$9,$C:$G,$A333,FALSE)</f>
      </c>
      <c r="C333" s="88" t="s">
        <v>1693</v>
      </c>
      <c r="D333" s="88" t="s">
        <v>1694</v>
      </c>
      <c r="E333" s="88" t="s">
        <v>1695</v>
      </c>
      <c r="F333" s="88" t="s">
        <v>1696</v>
      </c>
    </row>
    <row r="334" spans="1:6" ht="13.5" customHeight="1">
      <c r="A334" s="88">
        <v>334</v>
      </c>
      <c r="B334" s="88" t="str">
        <f>HLOOKUP(Introduzione!$B$9,$C:$G,$A334,FALSE)</f>
      </c>
      <c r="C334" s="88" t="s">
        <v>1697</v>
      </c>
      <c r="D334" s="88" t="s">
        <v>1698</v>
      </c>
      <c r="E334" s="88" t="s">
        <v>1699</v>
      </c>
      <c r="F334" s="88" t="s">
        <v>1700</v>
      </c>
    </row>
    <row r="335" spans="1:6" ht="13.5" customHeight="1">
      <c r="A335" s="88">
        <v>335</v>
      </c>
      <c r="B335" s="88" t="str">
        <f>HLOOKUP(Introduzione!$B$9,$C:$G,$A335,FALSE)</f>
      </c>
      <c r="C335" s="88" t="s">
        <v>1701</v>
      </c>
      <c r="D335" s="88" t="s">
        <v>1702</v>
      </c>
      <c r="E335" s="88" t="s">
        <v>1703</v>
      </c>
      <c r="F335" s="88" t="s">
        <v>1704</v>
      </c>
    </row>
    <row r="336" spans="1:6" ht="13.5" customHeight="1">
      <c r="A336" s="88">
        <v>336</v>
      </c>
      <c r="B336" s="88" t="str">
        <f>HLOOKUP(Introduzione!$B$9,$C:$G,$A336,FALSE)</f>
      </c>
      <c r="C336" s="88" t="s">
        <v>1705</v>
      </c>
      <c r="D336" s="88" t="s">
        <v>1706</v>
      </c>
      <c r="E336" s="88" t="s">
        <v>1707</v>
      </c>
      <c r="F336" s="88" t="s">
        <v>1708</v>
      </c>
    </row>
    <row r="337" spans="1:6" ht="13.5" customHeight="1">
      <c r="A337" s="88">
        <v>337</v>
      </c>
      <c r="B337" s="88" t="str">
        <f>HLOOKUP(Introduzione!$B$9,$C:$G,$A337,FALSE)</f>
      </c>
      <c r="C337" s="88" t="s">
        <v>1709</v>
      </c>
      <c r="D337" s="88" t="s">
        <v>1710</v>
      </c>
      <c r="E337" s="88" t="s">
        <v>1711</v>
      </c>
      <c r="F337" s="88" t="s">
        <v>1712</v>
      </c>
    </row>
    <row r="338" spans="1:6" ht="13.5" customHeight="1">
      <c r="A338" s="88">
        <v>338</v>
      </c>
      <c r="B338" s="88" t="str">
        <f>HLOOKUP(Introduzione!$B$9,$C:$G,$A338,FALSE)</f>
      </c>
      <c r="C338" s="88" t="s">
        <v>1713</v>
      </c>
      <c r="D338" s="88" t="s">
        <v>1714</v>
      </c>
      <c r="E338" s="88" t="s">
        <v>1715</v>
      </c>
      <c r="F338" s="88" t="s">
        <v>1716</v>
      </c>
    </row>
    <row r="339" spans="1:6" ht="13.5" customHeight="1">
      <c r="A339" s="88">
        <v>339</v>
      </c>
      <c r="B339" s="88" t="str">
        <f>HLOOKUP(Introduzione!$B$9,$C:$G,$A339,FALSE)</f>
      </c>
      <c r="C339" s="88" t="s">
        <v>1717</v>
      </c>
      <c r="D339" s="88" t="s">
        <v>1718</v>
      </c>
      <c r="E339" s="88" t="s">
        <v>1719</v>
      </c>
      <c r="F339" s="88" t="s">
        <v>1720</v>
      </c>
    </row>
    <row r="340" spans="1:6" ht="13.5" customHeight="1">
      <c r="A340" s="88">
        <v>340</v>
      </c>
      <c r="B340" s="88" t="str">
        <f>HLOOKUP(Introduzione!$B$9,$C:$G,$A340,FALSE)</f>
      </c>
      <c r="C340" s="88" t="s">
        <v>1721</v>
      </c>
      <c r="D340" s="88" t="s">
        <v>1722</v>
      </c>
      <c r="E340" s="88" t="s">
        <v>1723</v>
      </c>
      <c r="F340" s="88" t="s">
        <v>1724</v>
      </c>
    </row>
    <row r="341" spans="1:6">
      <c r="A341" s="88">
        <v>341</v>
      </c>
      <c r="B341" s="88" t="str">
        <f>HLOOKUP(Introduzione!$B$9,$C:$G,$A341,FALSE)</f>
      </c>
      <c r="C341" s="88" t="s">
        <v>1826</v>
      </c>
      <c r="D341" s="88" t="s">
        <v>1827</v>
      </c>
      <c r="F341" s="88" t="s">
        <v>1828</v>
      </c>
    </row>
    <row r="342" spans="1:6">
      <c r="A342" s="88">
        <v>342</v>
      </c>
      <c r="B342" s="88" t="str">
        <f>HLOOKUP(Introduzione!$B$9,$C:$G,$A342,FALSE)</f>
      </c>
      <c r="C342" s="88" t="s">
        <v>32</v>
      </c>
      <c r="F342" s="88" t="s">
        <v>1865</v>
      </c>
    </row>
  </sheetData>
  <sheetProtection algorithmName="SHA-512" hashValue="NFUNaA/azd1wlmiTA/lMHdTa1uktVafdxCybXZCxt3J3a7mQqEJexX5MC9v1XQ/w8eKJl0Qn7ByEMhhqtEai/g==" saltValue="l8SGSrIfSVWD+UgzNrDf+Q==" spinCount="100000" sheet="1" objects="1" scenarios="1"/>
  <autoFilter ref="A1:F314" xr:uid="{BF73651D-FDBD-4BE2-933D-D44C85FA0336}"/>
  <conditionalFormatting sqref="C66:D87 C34:D63 C2:D31 C89:D161 C21:E21">
    <cfRule type="containsText" dxfId="50" priority="110" operator="containsText" text="&quot;ALS&quot;">
      <formula>NOT(ISERROR(SEARCH("""ALS""",C2)))</formula>
    </cfRule>
  </conditionalFormatting>
  <conditionalFormatting sqref="C88:D88">
    <cfRule type="containsText" dxfId="49" priority="108" operator="containsText" text="&quot;ALS&quot;">
      <formula>NOT(ISERROR(SEARCH("""ALS""",C88)))</formula>
    </cfRule>
  </conditionalFormatting>
  <conditionalFormatting sqref="C177:D177">
    <cfRule type="containsText" dxfId="48" priority="107" operator="containsText" text="&quot;ALS&quot;">
      <formula>NOT(ISERROR(SEARCH("""ALS""",C177)))</formula>
    </cfRule>
  </conditionalFormatting>
  <conditionalFormatting sqref="E21">
    <cfRule type="containsText" dxfId="47" priority="80" operator="containsText" text="&quot;ALS&quot;">
      <formula>NOT(ISERROR(SEARCH("""ALS""",E21)))</formula>
    </cfRule>
  </conditionalFormatting>
  <conditionalFormatting sqref="D64">
    <cfRule type="containsText" dxfId="46" priority="77" operator="containsText" text="&quot;ALS&quot;">
      <formula>NOT(ISERROR(SEARCH("""ALS""",D64)))</formula>
    </cfRule>
  </conditionalFormatting>
  <conditionalFormatting sqref="C162:D164">
    <cfRule type="containsText" dxfId="45" priority="74" operator="containsText" text="&quot;ALS&quot;">
      <formula>NOT(ISERROR(SEARCH("""ALS""",C162)))</formula>
    </cfRule>
  </conditionalFormatting>
  <conditionalFormatting sqref="C32:D32">
    <cfRule type="containsText" dxfId="44" priority="67" operator="containsText" text="&quot;ALS&quot;">
      <formula>NOT(ISERROR(SEARCH("""ALS""",C32)))</formula>
    </cfRule>
  </conditionalFormatting>
  <conditionalFormatting sqref="C21:E21">
    <cfRule type="containsText" dxfId="43" priority="79" operator="containsText" text="&quot;ALS&quot;">
      <formula>NOT(ISERROR(SEARCH("""ALS""",C21)))</formula>
    </cfRule>
  </conditionalFormatting>
  <conditionalFormatting sqref="E149">
    <cfRule type="containsText" dxfId="42" priority="59" operator="containsText" text="&quot;ALS&quot;">
      <formula>NOT(ISERROR(SEARCH("""ALS""",E149)))</formula>
    </cfRule>
  </conditionalFormatting>
  <conditionalFormatting sqref="E152">
    <cfRule type="containsText" dxfId="41" priority="57" operator="containsText" text="&quot;ALS&quot;">
      <formula>NOT(ISERROR(SEARCH("""ALS""",E152)))</formula>
    </cfRule>
  </conditionalFormatting>
  <conditionalFormatting sqref="E151:E153">
    <cfRule type="containsText" dxfId="40" priority="58" operator="containsText" text="&quot;ALS&quot;">
      <formula>NOT(ISERROR(SEARCH("""ALS""",E151)))</formula>
    </cfRule>
  </conditionalFormatting>
  <conditionalFormatting sqref="E159">
    <cfRule type="containsText" dxfId="39" priority="52" operator="containsText" text="&quot;ALS&quot;">
      <formula>NOT(ISERROR(SEARCH("""ALS""",E159)))</formula>
    </cfRule>
  </conditionalFormatting>
  <conditionalFormatting sqref="E157">
    <cfRule type="containsText" dxfId="38" priority="54" operator="containsText" text="&quot;ALS&quot;">
      <formula>NOT(ISERROR(SEARCH("""ALS""",E157)))</formula>
    </cfRule>
  </conditionalFormatting>
  <conditionalFormatting sqref="E158">
    <cfRule type="containsText" dxfId="37" priority="53" operator="containsText" text="&quot;ALS&quot;">
      <formula>NOT(ISERROR(SEARCH("""ALS""",E158)))</formula>
    </cfRule>
  </conditionalFormatting>
  <conditionalFormatting sqref="E156">
    <cfRule type="containsText" dxfId="36" priority="50" operator="containsText" text="&quot;ALS&quot;">
      <formula>NOT(ISERROR(SEARCH("""ALS""",E156)))</formula>
    </cfRule>
  </conditionalFormatting>
  <conditionalFormatting sqref="E160">
    <cfRule type="containsText" dxfId="35" priority="49" operator="containsText" text="&quot;ALS&quot;">
      <formula>NOT(ISERROR(SEARCH("""ALS""",E160)))</formula>
    </cfRule>
  </conditionalFormatting>
  <conditionalFormatting sqref="D168">
    <cfRule type="containsText" dxfId="34" priority="64" operator="containsText" text="&quot;ALS&quot;">
      <formula>NOT(ISERROR(SEARCH("""ALS""",D168)))</formula>
    </cfRule>
  </conditionalFormatting>
  <conditionalFormatting sqref="C65:D65">
    <cfRule type="containsText" dxfId="33" priority="63" operator="containsText" text="&quot;ALS&quot;">
      <formula>NOT(ISERROR(SEARCH("""ALS""",C65)))</formula>
    </cfRule>
  </conditionalFormatting>
  <conditionalFormatting sqref="E65">
    <cfRule type="containsText" dxfId="32" priority="62" operator="containsText" text="&quot;ALS&quot;">
      <formula>NOT(ISERROR(SEARCH("""ALS""",E65)))</formula>
    </cfRule>
  </conditionalFormatting>
  <conditionalFormatting sqref="E164">
    <cfRule type="containsText" dxfId="31" priority="45" operator="containsText" text="&quot;ALS&quot;">
      <formula>NOT(ISERROR(SEARCH("""ALS""",E164)))</formula>
    </cfRule>
  </conditionalFormatting>
  <conditionalFormatting sqref="E148">
    <cfRule type="containsText" dxfId="30" priority="60" operator="containsText" text="&quot;ALS&quot;">
      <formula>NOT(ISERROR(SEARCH("""ALS""",E148)))</formula>
    </cfRule>
  </conditionalFormatting>
  <conditionalFormatting sqref="E153">
    <cfRule type="containsText" dxfId="29" priority="56" operator="containsText" text="&quot;ALS&quot;">
      <formula>NOT(ISERROR(SEARCH("""ALS""",E153)))</formula>
    </cfRule>
  </conditionalFormatting>
  <conditionalFormatting sqref="E154:E156">
    <cfRule type="containsText" dxfId="28" priority="55" operator="containsText" text="&quot;ALS&quot;">
      <formula>NOT(ISERROR(SEARCH("""ALS""",E154)))</formula>
    </cfRule>
  </conditionalFormatting>
  <conditionalFormatting sqref="E161">
    <cfRule type="containsText" dxfId="27" priority="48" operator="containsText" text="&quot;ALS&quot;">
      <formula>NOT(ISERROR(SEARCH("""ALS""",E161)))</formula>
    </cfRule>
  </conditionalFormatting>
  <conditionalFormatting sqref="E155">
    <cfRule type="containsText" dxfId="26" priority="51" operator="containsText" text="&quot;ALS&quot;">
      <formula>NOT(ISERROR(SEARCH("""ALS""",E155)))</formula>
    </cfRule>
  </conditionalFormatting>
  <conditionalFormatting sqref="E162">
    <cfRule type="containsText" dxfId="25" priority="47" operator="containsText" text="&quot;ALS&quot;">
      <formula>NOT(ISERROR(SEARCH("""ALS""",E162)))</formula>
    </cfRule>
  </conditionalFormatting>
  <conditionalFormatting sqref="E163">
    <cfRule type="containsText" dxfId="24" priority="46" operator="containsText" text="&quot;ALS&quot;">
      <formula>NOT(ISERROR(SEARCH("""ALS""",E163)))</formula>
    </cfRule>
  </conditionalFormatting>
  <conditionalFormatting sqref="F21">
    <cfRule type="containsText" dxfId="23" priority="26" operator="containsText" text="&quot;ALS&quot;">
      <formula>NOT(ISERROR(SEARCH("""ALS""",F21)))</formula>
    </cfRule>
  </conditionalFormatting>
  <conditionalFormatting sqref="F21">
    <cfRule type="containsText" dxfId="22" priority="25" operator="containsText" text="&quot;ALS&quot;">
      <formula>NOT(ISERROR(SEARCH("""ALS""",F21)))</formula>
    </cfRule>
  </conditionalFormatting>
  <conditionalFormatting sqref="F21">
    <cfRule type="containsText" dxfId="21" priority="24" operator="containsText" text="&quot;ALS&quot;">
      <formula>NOT(ISERROR(SEARCH("""ALS""",F21)))</formula>
    </cfRule>
  </conditionalFormatting>
  <conditionalFormatting sqref="F64">
    <cfRule type="containsText" dxfId="20" priority="22" operator="containsText" text="&quot;ALS&quot;">
      <formula>NOT(ISERROR(SEARCH("""ALS""",F64)))</formula>
    </cfRule>
  </conditionalFormatting>
  <conditionalFormatting sqref="F65">
    <cfRule type="containsText" dxfId="19" priority="20" operator="containsText" text="&quot;ALS&quot;">
      <formula>NOT(ISERROR(SEARCH("""ALS""",F65)))</formula>
    </cfRule>
  </conditionalFormatting>
  <conditionalFormatting sqref="F149">
    <cfRule type="containsText" dxfId="18" priority="18" operator="containsText" text="&quot;ALS&quot;">
      <formula>NOT(ISERROR(SEARCH("""ALS""",F149)))</formula>
    </cfRule>
  </conditionalFormatting>
  <conditionalFormatting sqref="F148">
    <cfRule type="containsText" dxfId="17" priority="19" operator="containsText" text="&quot;ALS&quot;">
      <formula>NOT(ISERROR(SEARCH("""ALS""",F148)))</formula>
    </cfRule>
  </conditionalFormatting>
  <conditionalFormatting sqref="F153">
    <cfRule type="containsText" dxfId="16" priority="15" operator="containsText" text="&quot;ALS&quot;">
      <formula>NOT(ISERROR(SEARCH("""ALS""",F153)))</formula>
    </cfRule>
  </conditionalFormatting>
  <conditionalFormatting sqref="F151:F153">
    <cfRule type="containsText" dxfId="15" priority="17" operator="containsText" text="&quot;ALS&quot;">
      <formula>NOT(ISERROR(SEARCH("""ALS""",F151)))</formula>
    </cfRule>
  </conditionalFormatting>
  <conditionalFormatting sqref="F152">
    <cfRule type="containsText" dxfId="14" priority="16" operator="containsText" text="&quot;ALS&quot;">
      <formula>NOT(ISERROR(SEARCH("""ALS""",F152)))</formula>
    </cfRule>
  </conditionalFormatting>
  <conditionalFormatting sqref="F154:F156">
    <cfRule type="containsText" dxfId="13" priority="14" operator="containsText" text="&quot;ALS&quot;">
      <formula>NOT(ISERROR(SEARCH("""ALS""",F154)))</formula>
    </cfRule>
  </conditionalFormatting>
  <conditionalFormatting sqref="F157">
    <cfRule type="containsText" dxfId="12" priority="13" operator="containsText" text="&quot;ALS&quot;">
      <formula>NOT(ISERROR(SEARCH("""ALS""",F157)))</formula>
    </cfRule>
  </conditionalFormatting>
  <conditionalFormatting sqref="F158">
    <cfRule type="containsText" dxfId="11" priority="12" operator="containsText" text="&quot;ALS&quot;">
      <formula>NOT(ISERROR(SEARCH("""ALS""",F158)))</formula>
    </cfRule>
  </conditionalFormatting>
  <conditionalFormatting sqref="F161">
    <cfRule type="containsText" dxfId="10" priority="7" operator="containsText" text="&quot;ALS&quot;">
      <formula>NOT(ISERROR(SEARCH("""ALS""",F161)))</formula>
    </cfRule>
  </conditionalFormatting>
  <conditionalFormatting sqref="F159">
    <cfRule type="containsText" dxfId="9" priority="11" operator="containsText" text="&quot;ALS&quot;">
      <formula>NOT(ISERROR(SEARCH("""ALS""",F159)))</formula>
    </cfRule>
  </conditionalFormatting>
  <conditionalFormatting sqref="F155">
    <cfRule type="containsText" dxfId="8" priority="10" operator="containsText" text="&quot;ALS&quot;">
      <formula>NOT(ISERROR(SEARCH("""ALS""",F155)))</formula>
    </cfRule>
  </conditionalFormatting>
  <conditionalFormatting sqref="F156">
    <cfRule type="containsText" dxfId="7" priority="9" operator="containsText" text="&quot;ALS&quot;">
      <formula>NOT(ISERROR(SEARCH("""ALS""",F156)))</formula>
    </cfRule>
  </conditionalFormatting>
  <conditionalFormatting sqref="F160">
    <cfRule type="containsText" dxfId="6" priority="8" operator="containsText" text="&quot;ALS&quot;">
      <formula>NOT(ISERROR(SEARCH("""ALS""",F160)))</formula>
    </cfRule>
  </conditionalFormatting>
  <conditionalFormatting sqref="F164">
    <cfRule type="containsText" dxfId="5" priority="4" operator="containsText" text="&quot;ALS&quot;">
      <formula>NOT(ISERROR(SEARCH("""ALS""",F164)))</formula>
    </cfRule>
  </conditionalFormatting>
  <conditionalFormatting sqref="F162">
    <cfRule type="containsText" dxfId="4" priority="6" operator="containsText" text="&quot;ALS&quot;">
      <formula>NOT(ISERROR(SEARCH("""ALS""",F162)))</formula>
    </cfRule>
  </conditionalFormatting>
  <conditionalFormatting sqref="F163">
    <cfRule type="containsText" dxfId="3" priority="5" operator="containsText" text="&quot;ALS&quot;">
      <formula>NOT(ISERROR(SEARCH("""ALS""",F163)))</formula>
    </cfRule>
  </conditionalFormatting>
  <conditionalFormatting sqref="C317:D340">
    <cfRule type="containsText" dxfId="2" priority="3" operator="containsText" text="&quot;ALS&quot;">
      <formula>NOT(ISERROR(SEARCH("""ALS""",C317)))</formula>
    </cfRule>
  </conditionalFormatting>
  <conditionalFormatting sqref="C341:D341">
    <cfRule type="containsText" dxfId="1" priority="2" operator="containsText" text="&quot;ALS&quot;">
      <formula>NOT(ISERROR(SEARCH("""ALS""",C341)))</formula>
    </cfRule>
  </conditionalFormatting>
  <conditionalFormatting sqref="C64">
    <cfRule type="containsText" dxfId="0" priority="1" operator="containsText" text="&quot;ALS&quot;">
      <formula>NOT(ISERROR(SEARCH("""ALS""",C64)))</formula>
    </cfRule>
  </conditionalFormatting>
  <hyperlinks>
    <hyperlink ref="E21" r:id="rId1" xr:uid="{00000000-0004-0000-0800-000000000000}"/>
    <hyperlink ref="C21" r:id="rId2" xr:uid="{00000000-0004-0000-0800-000001000000}"/>
    <hyperlink ref="D21" r:id="rId3" xr:uid="{00000000-0004-0000-0800-000002000000}"/>
    <hyperlink ref="B21" r:id="rId4" xr:uid="{00000000-0004-0000-0800-000003000000}"/>
    <hyperlink ref="F21" r:id="rId5" xr:uid="{219C00FB-85CA-4C1F-9E44-37F84C2EDCCB}"/>
  </hyperlinks>
  <pageMargins left="0.7" right="0.7" top="0.75" bottom="0.75" header="0.3" footer="0.3"/>
  <pageSetup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369"/>
  <sheetViews>
    <sheetView workbookViewId="0">
      <pane xSplit="8" ySplit="8" topLeftCell="I9" activePane="bottomRight" state="frozen"/>
      <selection activeCell="B174" sqref="B174"/>
      <selection pane="topRight" activeCell="B174" sqref="B174"/>
      <selection pane="bottomLeft" activeCell="B174" sqref="B174"/>
      <selection pane="bottomRight" activeCell="B174" sqref="B174"/>
    </sheetView>
  </sheetViews>
  <sheetFormatPr defaultColWidth="9.140625" defaultRowHeight="15"/>
  <cols>
    <col min="1" max="1" width="1.7109375" style="73" customWidth="1"/>
    <col min="2" max="2" width="8" style="72" bestFit="1" customWidth="1"/>
    <col min="3" max="3" width="13.7109375" style="72" customWidth="1"/>
    <col min="4" max="4" width="1.7109375" style="73" customWidth="1"/>
    <col min="5" max="6" width="13.7109375" style="72" customWidth="1"/>
    <col min="7" max="7" width="10.7109375" style="72" bestFit="1" customWidth="1"/>
    <col min="8" max="8" width="1.7109375" style="73" customWidth="1"/>
    <col min="9" max="9" width="10.5703125" style="72" bestFit="1" customWidth="1"/>
    <col min="10" max="13" width="13.7109375" style="72" customWidth="1"/>
    <col min="14" max="14" width="1.7109375" style="73" customWidth="1"/>
    <col min="15" max="15" width="16.7109375" style="72" customWidth="1"/>
    <col min="16" max="17" width="13.7109375" style="72" customWidth="1"/>
    <col min="18" max="18" width="1.7109375" style="73" customWidth="1"/>
    <col min="19" max="19" width="10.5703125" style="72" bestFit="1" customWidth="1"/>
    <col min="20" max="22" width="13.7109375" style="72" customWidth="1"/>
    <col min="23" max="23" width="1.7109375" style="73" customWidth="1"/>
    <col min="24" max="24" width="10.5703125" style="72" bestFit="1" customWidth="1"/>
    <col min="25" max="25" width="12.5703125" style="72" bestFit="1" customWidth="1"/>
    <col min="26" max="16384" width="9.140625" style="72"/>
  </cols>
  <sheetData>
    <row r="1" spans="1:25">
      <c r="A1" s="448" t="s">
        <v>995</v>
      </c>
      <c r="B1" s="448"/>
      <c r="C1" s="448"/>
      <c r="D1" s="448"/>
      <c r="E1" s="448"/>
      <c r="F1" s="448"/>
      <c r="G1" s="448"/>
      <c r="H1" s="448"/>
      <c r="I1" s="448"/>
      <c r="J1" s="448"/>
      <c r="K1" s="448"/>
      <c r="L1" s="448"/>
      <c r="M1" s="448"/>
      <c r="N1" s="448"/>
      <c r="O1" s="448"/>
      <c r="P1" s="448"/>
      <c r="Q1" s="448"/>
      <c r="R1" s="448"/>
      <c r="S1" s="448"/>
      <c r="T1" s="448"/>
      <c r="U1" s="448"/>
      <c r="V1" s="448"/>
      <c r="W1" s="448"/>
    </row>
    <row r="2" spans="1:25">
      <c r="A2" s="448"/>
      <c r="B2" s="448"/>
      <c r="C2" s="448"/>
      <c r="D2" s="448"/>
      <c r="E2" s="448"/>
      <c r="F2" s="448"/>
      <c r="G2" s="448"/>
      <c r="H2" s="448"/>
      <c r="I2" s="448"/>
      <c r="J2" s="448"/>
      <c r="K2" s="448"/>
      <c r="L2" s="448"/>
      <c r="M2" s="448"/>
      <c r="N2" s="448"/>
      <c r="O2" s="448"/>
      <c r="P2" s="448"/>
      <c r="Q2" s="448"/>
      <c r="R2" s="448"/>
      <c r="S2" s="448"/>
      <c r="T2" s="448"/>
      <c r="U2" s="448"/>
      <c r="V2" s="448"/>
      <c r="W2" s="448"/>
    </row>
    <row r="3" spans="1:25">
      <c r="A3" s="448" t="str">
        <f>IF('Oneri mensili'!$C$10=dropdowns!$B$185,"ANNUÏTAIRE","")&amp;IF('Oneri mensili'!$C$10=dropdowns!$B$186,"LINEAIRE","")&amp;" LEENLAAG"</f>
      </c>
      <c r="B3" s="448"/>
      <c r="C3" s="448"/>
      <c r="D3" s="448"/>
      <c r="E3" s="448"/>
      <c r="F3" s="448"/>
      <c r="G3" s="448"/>
      <c r="H3" s="448"/>
      <c r="I3" s="448"/>
      <c r="J3" s="448"/>
      <c r="K3" s="448"/>
      <c r="L3" s="448"/>
      <c r="M3" s="448"/>
      <c r="N3" s="448"/>
      <c r="O3" s="448"/>
      <c r="P3" s="448"/>
      <c r="Q3" s="448"/>
      <c r="R3" s="448"/>
      <c r="S3" s="448"/>
      <c r="T3" s="448"/>
      <c r="U3" s="448"/>
      <c r="V3" s="448"/>
      <c r="W3" s="448"/>
    </row>
    <row r="4" spans="1:25">
      <c r="A4" s="448"/>
      <c r="B4" s="448"/>
      <c r="C4" s="448"/>
      <c r="D4" s="448"/>
      <c r="E4" s="448"/>
      <c r="F4" s="448"/>
      <c r="G4" s="448"/>
      <c r="H4" s="448"/>
      <c r="I4" s="448"/>
      <c r="J4" s="448"/>
      <c r="K4" s="448"/>
      <c r="L4" s="448"/>
      <c r="M4" s="448"/>
      <c r="N4" s="448"/>
      <c r="O4" s="448"/>
      <c r="P4" s="448"/>
      <c r="Q4" s="448"/>
      <c r="R4" s="448"/>
      <c r="S4" s="448"/>
      <c r="T4" s="448"/>
      <c r="U4" s="448"/>
      <c r="V4" s="448"/>
      <c r="W4" s="448"/>
    </row>
    <row r="5" spans="1:25" ht="7.5" customHeight="1">
      <c r="B5" s="73"/>
      <c r="C5" s="73"/>
      <c r="E5" s="73"/>
      <c r="F5" s="73"/>
      <c r="G5" s="73"/>
      <c r="I5" s="73"/>
      <c r="J5" s="73"/>
      <c r="K5" s="73"/>
      <c r="L5" s="73"/>
      <c r="M5" s="73"/>
      <c r="O5" s="73"/>
      <c r="P5" s="73"/>
      <c r="Q5" s="73"/>
      <c r="S5" s="73"/>
      <c r="T5" s="73"/>
      <c r="U5" s="73"/>
      <c r="V5" s="73"/>
    </row>
    <row r="6" spans="1:25" ht="15" customHeight="1">
      <c r="B6" s="449" t="s">
        <v>996</v>
      </c>
      <c r="C6" s="449"/>
      <c r="E6" s="449" t="s">
        <v>997</v>
      </c>
      <c r="F6" s="449"/>
      <c r="G6" s="449"/>
      <c r="I6" s="449" t="s">
        <v>998</v>
      </c>
      <c r="J6" s="449"/>
      <c r="K6" s="449"/>
      <c r="L6" s="449"/>
      <c r="M6" s="449"/>
      <c r="O6" s="449" t="s">
        <v>999</v>
      </c>
      <c r="P6" s="449"/>
      <c r="Q6" s="449"/>
      <c r="S6" s="449" t="s">
        <v>1000</v>
      </c>
      <c r="T6" s="449"/>
      <c r="U6" s="449"/>
      <c r="V6" s="449"/>
    </row>
    <row r="7" spans="1:25" s="75" customFormat="1" ht="30" customHeight="1">
      <c r="A7" s="74"/>
      <c r="B7" s="356" t="s">
        <v>1001</v>
      </c>
      <c r="C7" s="356" t="s">
        <v>1002</v>
      </c>
      <c r="D7" s="74"/>
      <c r="E7" s="356" t="s">
        <v>1003</v>
      </c>
      <c r="F7" s="356" t="s">
        <v>1004</v>
      </c>
      <c r="G7" s="356" t="s">
        <v>1005</v>
      </c>
      <c r="H7" s="74"/>
      <c r="I7" s="356" t="s">
        <v>1006</v>
      </c>
      <c r="J7" s="356" t="s">
        <v>998</v>
      </c>
      <c r="K7" s="356" t="s">
        <v>999</v>
      </c>
      <c r="L7" s="356" t="s">
        <v>1007</v>
      </c>
      <c r="M7" s="356" t="s">
        <v>1008</v>
      </c>
      <c r="N7" s="74"/>
      <c r="O7" s="356" t="s">
        <v>1009</v>
      </c>
      <c r="P7" s="356" t="s">
        <v>1010</v>
      </c>
      <c r="Q7" s="356" t="s">
        <v>1011</v>
      </c>
      <c r="R7" s="74"/>
      <c r="S7" s="356" t="s">
        <v>1006</v>
      </c>
      <c r="T7" s="356" t="s">
        <v>998</v>
      </c>
      <c r="U7" s="356" t="s">
        <v>1007</v>
      </c>
      <c r="V7" s="356" t="s">
        <v>999</v>
      </c>
      <c r="W7" s="74"/>
    </row>
    <row r="8" spans="1:25" ht="7.5" customHeight="1">
      <c r="B8" s="73"/>
      <c r="C8" s="73"/>
      <c r="E8" s="73"/>
      <c r="F8" s="73"/>
      <c r="G8" s="73"/>
      <c r="I8" s="73"/>
      <c r="J8" s="73"/>
      <c r="K8" s="73"/>
      <c r="L8" s="73"/>
      <c r="M8" s="73"/>
      <c r="O8" s="73"/>
      <c r="P8" s="73"/>
      <c r="Q8" s="73"/>
      <c r="S8" s="73"/>
      <c r="T8" s="73"/>
      <c r="U8" s="73"/>
      <c r="V8" s="73"/>
    </row>
    <row r="9" spans="1:25" s="85" customFormat="1" ht="15" customHeight="1">
      <c r="A9" s="76"/>
      <c r="B9" s="77">
        <v>0</v>
      </c>
      <c r="C9" s="78">
        <f ca="1">EOMONTH(TODAY(),0)+1</f>
      </c>
      <c r="D9" s="76"/>
      <c r="E9" s="78">
        <f ca="1">C9</f>
      </c>
      <c r="F9" s="78">
        <f ca="1">E9</f>
      </c>
      <c r="G9" s="79">
        <v>0</v>
      </c>
      <c r="H9" s="80"/>
      <c r="I9" s="81">
        <f>'Oneri mensili'!$C$5</f>
      </c>
      <c r="J9" s="81">
        <v>0</v>
      </c>
      <c r="K9" s="81">
        <v>0</v>
      </c>
      <c r="L9" s="81">
        <f>I9</f>
      </c>
      <c r="M9" s="81">
        <f>L9-'Oneri mensili'!$C$6</f>
      </c>
      <c r="N9" s="80"/>
      <c r="O9" s="82">
        <f>'Oneri mensili'!$C$8</f>
      </c>
      <c r="P9" s="82">
        <f>'Oneri mensili'!$C$8*(POWER(1+'Oneri mensili'!$C$8,$B9-1+1))</f>
      </c>
      <c r="Q9" s="82">
        <v>0</v>
      </c>
      <c r="R9" s="80"/>
      <c r="S9" s="81">
        <f>'Oneri mensili'!$C$5</f>
      </c>
      <c r="T9" s="81">
        <f>J9/(POWER(1+'Oneri mensili'!$C$8,$B9-1+1))</f>
      </c>
      <c r="U9" s="83">
        <f>T9+V9</f>
      </c>
      <c r="V9" s="81">
        <f>K9/(POWER(1+'Oneri mensili'!$C$8,$B9-1+1))</f>
      </c>
      <c r="W9" s="80"/>
      <c r="X9" s="83"/>
      <c r="Y9" s="84"/>
    </row>
    <row r="10" spans="1:25" s="85" customFormat="1">
      <c r="A10" s="76"/>
      <c r="B10" s="77">
        <f>IF($B9="","",IF($B9+1&gt;'Oneri mensili'!$C$4,"",Schema!B9+1))</f>
      </c>
      <c r="C10" s="78">
        <f ca="1">IF($B9="","",IF($B9+1&gt;'Oneri mensili'!$C$4,"",EOMONTH(C9,0)+1))</f>
      </c>
      <c r="D10" s="76"/>
      <c r="E10" s="78">
        <f ca="1">IF($B9="","",IF($B9+1&gt;'Oneri mensili'!$C$4,"",E9))</f>
      </c>
      <c r="F10" s="78">
        <f ca="1">IF($B9="","",IF($B9+1&gt;'Oneri mensili'!$C$4,"",EOMONTH(E10,0)))</f>
      </c>
      <c r="G10" s="79">
        <f ca="1">IF($B9="","",IF($B9+1&gt;'Oneri mensili'!$C$4,"",(F10-E10)+1)/DAY(F10))</f>
      </c>
      <c r="H10" s="80"/>
      <c r="I10" s="81">
        <f>IF($B9="","",IF($B9+1&gt;'Oneri mensili'!$C$4,"",I9-J9))</f>
      </c>
      <c r="J10" s="81">
        <f>IF($B9="","",IF($B9+1&gt;'Oneri mensili'!$C$4,"",IF(B9&lt;'Oneri mensili'!$C$11-1,0,IF('Oneri mensili'!$C$10=dropdowns!$B$186,'Oneri mensili'!$J$3,IF('Oneri mensili'!$C$10=dropdowns!$B$185,IFERROR('Oneri mensili'!$J$3-K10,0),0)))))</f>
      </c>
      <c r="K10" s="81">
        <f ca="1">IF($B9="","",IF($B9+1&gt;'Oneri mensili'!$C$4,"",G10*I10*'Oneri mensili'!$C$8))</f>
      </c>
      <c r="L10" s="81">
        <f ca="1">IF(S10="","",-K10-J10)</f>
      </c>
      <c r="M10" s="81">
        <f t="shared" ref="M10:M73" ca="1" si="0">IF(S10="","",-K10-J10)</f>
      </c>
      <c r="N10" s="80"/>
      <c r="O10" s="82">
        <f>IF($B10="","",'Oneri mensili'!$C$8)</f>
      </c>
      <c r="P10" s="82">
        <f>IF($B10="","",'Oneri mensili'!$C$8*(POWER(1+'Oneri mensili'!$C$8,$B10-1+1)))</f>
      </c>
      <c r="Q10" s="82">
        <f>IF($B10="","",IFERROR(J10/T10-1,0))</f>
      </c>
      <c r="R10" s="80"/>
      <c r="S10" s="81">
        <f t="shared" ref="S10:S73" si="1">IF(B10="","",IF(S9-T9&lt;0,"",S9-T9))</f>
      </c>
      <c r="T10" s="81">
        <f>IF(S10="","",J10/(POWER(1+'Oneri mensili'!$C$8,$B10-1+1)))</f>
      </c>
      <c r="U10" s="83">
        <f ca="1">IF(S10="","",T10+V10)</f>
      </c>
      <c r="V10" s="81">
        <f ca="1">IF($B10="","",K10/(POWER(1+'Oneri mensili'!$C$8,$B10-1+1)))</f>
      </c>
      <c r="W10" s="80"/>
      <c r="X10" s="83"/>
      <c r="Y10" s="84"/>
    </row>
    <row r="11" spans="1:25" s="85" customFormat="1">
      <c r="A11" s="76"/>
      <c r="B11" s="77">
        <f>IF($B10="","",IF($B10+1&gt;'Oneri mensili'!$C$4,"",Schema!B10+1))</f>
      </c>
      <c r="C11" s="78">
        <f ca="1">IF($B10="","",IF($B10+1&gt;'Oneri mensili'!$C$4,"",EOMONTH(C10,0)+1))</f>
      </c>
      <c r="D11" s="76"/>
      <c r="E11" s="78">
        <f ca="1">IF($B10="","",IF($B10+1&gt;'Oneri mensili'!$C$4,"",F10+1))</f>
      </c>
      <c r="F11" s="78">
        <f ca="1">IF($B10="","",IF($B10+1&gt;'Oneri mensili'!$C$4,"",EOMONTH(E11,0)))</f>
      </c>
      <c r="G11" s="79">
        <f ca="1">IF($B10="","",IF($B10+1&gt;'Oneri mensili'!$C$4,"",(F11-E11)+1)/DAY(F11))</f>
      </c>
      <c r="H11" s="80"/>
      <c r="I11" s="81">
        <f>IF($B10="","",IF($B10+1&gt;'Oneri mensili'!$C$4,"",I10-J10))</f>
      </c>
      <c r="J11" s="81">
        <f>IF($B10="","",IF($B10+1&gt;'Oneri mensili'!$C$4,"",IF(B10&lt;'Oneri mensili'!$C$11-1,0,IF('Oneri mensili'!$C$10=dropdowns!$B$186,'Oneri mensili'!$J$3,IF('Oneri mensili'!$C$10=dropdowns!$B$185,IFERROR('Oneri mensili'!$J$3-K11,0),0)))))</f>
      </c>
      <c r="K11" s="81">
        <f ca="1">IF($B10="","",IF($B10+1&gt;'Oneri mensili'!$C$4,"",G11*I11*'Oneri mensili'!$C$8))</f>
      </c>
      <c r="L11" s="81">
        <f t="shared" ref="L11:L74" ca="1" si="2">IF(S11="","",-K11-J11)</f>
      </c>
      <c r="M11" s="81">
        <f t="shared" ca="1" si="0"/>
      </c>
      <c r="N11" s="80"/>
      <c r="O11" s="82">
        <f>IF($B11="","",'Oneri mensili'!$C$8)</f>
      </c>
      <c r="P11" s="82">
        <f>IF($B11="","",'Oneri mensili'!$C$8*(POWER(1+'Oneri mensili'!$C$8,$B11-1+1)))</f>
      </c>
      <c r="Q11" s="82">
        <f t="shared" ref="Q11:Q74" si="3">IF($B11="","",IFERROR(J11/T11-1,0))</f>
      </c>
      <c r="R11" s="80"/>
      <c r="S11" s="81">
        <f t="shared" si="1"/>
      </c>
      <c r="T11" s="81">
        <f>IF(S11="","",J11/(POWER(1+'Oneri mensili'!$C$8,$B11-1+1)))</f>
      </c>
      <c r="U11" s="83">
        <f t="shared" ref="U11:U74" ca="1" si="4">IF(S11="","",T11+V11)</f>
      </c>
      <c r="V11" s="81">
        <f ca="1">IF($B11="","",K11/(POWER(1+'Oneri mensili'!$C$8,$B11-1+1)))</f>
      </c>
      <c r="W11" s="80"/>
      <c r="X11" s="83"/>
      <c r="Y11" s="84"/>
    </row>
    <row r="12" spans="1:25" s="85" customFormat="1">
      <c r="A12" s="76"/>
      <c r="B12" s="77">
        <f>IF($B11="","",IF($B11+1&gt;'Oneri mensili'!$C$4,"",Schema!B11+1))</f>
      </c>
      <c r="C12" s="78">
        <f ca="1">IF($B11="","",IF($B11+1&gt;'Oneri mensili'!$C$4,"",EOMONTH(C11,0)+1))</f>
      </c>
      <c r="D12" s="76"/>
      <c r="E12" s="78">
        <f ca="1">IF($B11="","",IF($B11+1&gt;'Oneri mensili'!$C$4,"",F11+1))</f>
      </c>
      <c r="F12" s="78">
        <f ca="1">IF($B11="","",IF($B11+1&gt;'Oneri mensili'!$C$4,"",EOMONTH(E12,0)))</f>
      </c>
      <c r="G12" s="79">
        <f ca="1">IF($B11="","",IF($B11+1&gt;'Oneri mensili'!$C$4,"",(F12-E12)+1)/DAY(F12))</f>
      </c>
      <c r="H12" s="80"/>
      <c r="I12" s="81">
        <f>IF($B11="","",IF($B11+1&gt;'Oneri mensili'!$C$4,"",I11-J11))</f>
      </c>
      <c r="J12" s="81">
        <f>IF($B11="","",IF($B11+1&gt;'Oneri mensili'!$C$4,"",IF(B11&lt;'Oneri mensili'!$C$11-1,0,IF('Oneri mensili'!$C$10=dropdowns!$B$186,'Oneri mensili'!$J$3,IF('Oneri mensili'!$C$10=dropdowns!$B$185,IFERROR('Oneri mensili'!$J$3-K12,0),0)))))</f>
      </c>
      <c r="K12" s="81">
        <f ca="1">IF($B11="","",IF($B11+1&gt;'Oneri mensili'!$C$4,"",G12*I12*'Oneri mensili'!$C$8))</f>
      </c>
      <c r="L12" s="81">
        <f t="shared" ca="1" si="2"/>
      </c>
      <c r="M12" s="81">
        <f t="shared" ca="1" si="0"/>
      </c>
      <c r="N12" s="80"/>
      <c r="O12" s="82">
        <f>IF($B12="","",'Oneri mensili'!$C$8)</f>
      </c>
      <c r="P12" s="82">
        <f>IF($B12="","",'Oneri mensili'!$C$8*(POWER(1+'Oneri mensili'!$C$8,$B12-1+1)))</f>
      </c>
      <c r="Q12" s="82">
        <f t="shared" si="3"/>
      </c>
      <c r="R12" s="80"/>
      <c r="S12" s="81">
        <f t="shared" si="1"/>
      </c>
      <c r="T12" s="81">
        <f>IF(S12="","",J12/(POWER(1+'Oneri mensili'!$C$8,$B12-1+1)))</f>
      </c>
      <c r="U12" s="83">
        <f t="shared" ca="1" si="4"/>
      </c>
      <c r="V12" s="81">
        <f ca="1">IF($B12="","",K12/(POWER(1+'Oneri mensili'!$C$8,$B12-1+1)))</f>
      </c>
      <c r="W12" s="80"/>
      <c r="X12" s="83"/>
      <c r="Y12" s="84"/>
    </row>
    <row r="13" spans="1:25" s="85" customFormat="1">
      <c r="A13" s="76"/>
      <c r="B13" s="77">
        <f>IF($B12="","",IF($B12+1&gt;'Oneri mensili'!$C$4,"",Schema!B12+1))</f>
      </c>
      <c r="C13" s="78">
        <f ca="1">IF($B12="","",IF($B12+1&gt;'Oneri mensili'!$C$4,"",EOMONTH(C12,0)+1))</f>
      </c>
      <c r="D13" s="76"/>
      <c r="E13" s="78">
        <f ca="1">IF($B12="","",IF($B12+1&gt;'Oneri mensili'!$C$4,"",F12+1))</f>
      </c>
      <c r="F13" s="78">
        <f ca="1">IF($B12="","",IF($B12+1&gt;'Oneri mensili'!$C$4,"",EOMONTH(E13,0)))</f>
      </c>
      <c r="G13" s="79">
        <f ca="1">IF($B12="","",IF($B12+1&gt;'Oneri mensili'!$C$4,"",(F13-E13)+1)/DAY(F13))</f>
      </c>
      <c r="H13" s="80"/>
      <c r="I13" s="81">
        <f>IF($B12="","",IF($B12+1&gt;'Oneri mensili'!$C$4,"",I12-J12))</f>
      </c>
      <c r="J13" s="81">
        <f>IF($B12="","",IF($B12+1&gt;'Oneri mensili'!$C$4,"",IF(B12&lt;'Oneri mensili'!$C$11-1,0,IF('Oneri mensili'!$C$10=dropdowns!$B$186,'Oneri mensili'!$J$3,IF('Oneri mensili'!$C$10=dropdowns!$B$185,IFERROR('Oneri mensili'!$J$3-K13,0),0)))))</f>
      </c>
      <c r="K13" s="81">
        <f ca="1">IF($B12="","",IF($B12+1&gt;'Oneri mensili'!$C$4,"",G13*I13*'Oneri mensili'!$C$8))</f>
      </c>
      <c r="L13" s="81">
        <f ca="1">IF(S13="","",-K13-J13)</f>
      </c>
      <c r="M13" s="81">
        <f t="shared" ca="1" si="0"/>
      </c>
      <c r="N13" s="80"/>
      <c r="O13" s="82">
        <f>IF($B13="","",'Oneri mensili'!$C$8)</f>
      </c>
      <c r="P13" s="82">
        <f>IF($B13="","",'Oneri mensili'!$C$8*(POWER(1+'Oneri mensili'!$C$8,$B13-1+1)))</f>
      </c>
      <c r="Q13" s="82">
        <f t="shared" si="3"/>
      </c>
      <c r="R13" s="80"/>
      <c r="S13" s="81">
        <f t="shared" si="1"/>
      </c>
      <c r="T13" s="81">
        <f>IF(S13="","",J13/(POWER(1+'Oneri mensili'!$C$8,$B13-1+1)))</f>
      </c>
      <c r="U13" s="83">
        <f t="shared" ca="1" si="4"/>
      </c>
      <c r="V13" s="81">
        <f ca="1">IF($B13="","",K13/(POWER(1+'Oneri mensili'!$C$8,$B13-1+1)))</f>
      </c>
      <c r="W13" s="80"/>
      <c r="X13" s="83"/>
      <c r="Y13" s="84"/>
    </row>
    <row r="14" spans="1:25" s="85" customFormat="1">
      <c r="A14" s="76"/>
      <c r="B14" s="77">
        <f>IF($B13="","",IF($B13+1&gt;'Oneri mensili'!$C$4,"",Schema!B13+1))</f>
      </c>
      <c r="C14" s="78">
        <f ca="1">IF($B13="","",IF($B13+1&gt;'Oneri mensili'!$C$4,"",EOMONTH(C13,0)+1))</f>
      </c>
      <c r="D14" s="76"/>
      <c r="E14" s="78">
        <f ca="1">IF($B13="","",IF($B13+1&gt;'Oneri mensili'!$C$4,"",F13+1))</f>
      </c>
      <c r="F14" s="78">
        <f ca="1">IF($B13="","",IF($B13+1&gt;'Oneri mensili'!$C$4,"",EOMONTH(E14,0)))</f>
      </c>
      <c r="G14" s="79">
        <f ca="1">IF($B13="","",IF($B13+1&gt;'Oneri mensili'!$C$4,"",(F14-E14)+1)/DAY(F14))</f>
      </c>
      <c r="H14" s="80"/>
      <c r="I14" s="81">
        <f>IF($B13="","",IF($B13+1&gt;'Oneri mensili'!$C$4,"",I13-J13))</f>
      </c>
      <c r="J14" s="81">
        <f>IF($B13="","",IF($B13+1&gt;'Oneri mensili'!$C$4,"",IF(B13&lt;'Oneri mensili'!$C$11-1,0,IF('Oneri mensili'!$C$10=dropdowns!$B$186,'Oneri mensili'!$J$3,IF('Oneri mensili'!$C$10=dropdowns!$B$185,IFERROR('Oneri mensili'!$J$3-K14,0),0)))))</f>
      </c>
      <c r="K14" s="81">
        <f ca="1">IF($B13="","",IF($B13+1&gt;'Oneri mensili'!$C$4,"",G14*I14*'Oneri mensili'!$C$8))</f>
      </c>
      <c r="L14" s="81">
        <f t="shared" ca="1" si="2"/>
      </c>
      <c r="M14" s="81">
        <f t="shared" ca="1" si="0"/>
      </c>
      <c r="N14" s="80"/>
      <c r="O14" s="82">
        <f>IF($B14="","",'Oneri mensili'!$C$8)</f>
      </c>
      <c r="P14" s="82">
        <f>IF($B14="","",'Oneri mensili'!$C$8*(POWER(1+'Oneri mensili'!$C$8,$B14-1+1)))</f>
      </c>
      <c r="Q14" s="82">
        <f t="shared" si="3"/>
      </c>
      <c r="R14" s="80"/>
      <c r="S14" s="81">
        <f t="shared" si="1"/>
      </c>
      <c r="T14" s="81">
        <f>IF(S14="","",J14/(POWER(1+'Oneri mensili'!$C$8,$B14-1+1)))</f>
      </c>
      <c r="U14" s="83">
        <f t="shared" ca="1" si="4"/>
      </c>
      <c r="V14" s="81">
        <f ca="1">IF($B14="","",K14/(POWER(1+'Oneri mensili'!$C$8,$B14-1+1)))</f>
      </c>
      <c r="W14" s="80"/>
      <c r="X14" s="83"/>
      <c r="Y14" s="84"/>
    </row>
    <row r="15" spans="1:25" s="85" customFormat="1">
      <c r="A15" s="76"/>
      <c r="B15" s="77">
        <f>IF($B14="","",IF($B14+1&gt;'Oneri mensili'!$C$4,"",Schema!B14+1))</f>
      </c>
      <c r="C15" s="78">
        <f ca="1">IF($B14="","",IF($B14+1&gt;'Oneri mensili'!$C$4,"",EOMONTH(C14,0)+1))</f>
      </c>
      <c r="D15" s="76"/>
      <c r="E15" s="78">
        <f ca="1">IF($B14="","",IF($B14+1&gt;'Oneri mensili'!$C$4,"",F14+1))</f>
      </c>
      <c r="F15" s="78">
        <f ca="1">IF($B14="","",IF($B14+1&gt;'Oneri mensili'!$C$4,"",EOMONTH(E15,0)))</f>
      </c>
      <c r="G15" s="79">
        <f ca="1">IF($B14="","",IF($B14+1&gt;'Oneri mensili'!$C$4,"",(F15-E15)+1)/DAY(F15))</f>
      </c>
      <c r="H15" s="80"/>
      <c r="I15" s="81">
        <f>IF($B14="","",IF($B14+1&gt;'Oneri mensili'!$C$4,"",I14-J14))</f>
      </c>
      <c r="J15" s="81">
        <f>IF($B14="","",IF($B14+1&gt;'Oneri mensili'!$C$4,"",IF(B14&lt;'Oneri mensili'!$C$11-1,0,IF('Oneri mensili'!$C$10=dropdowns!$B$186,'Oneri mensili'!$J$3,IF('Oneri mensili'!$C$10=dropdowns!$B$185,IFERROR('Oneri mensili'!$J$3-K15,0),0)))))</f>
      </c>
      <c r="K15" s="81">
        <f ca="1">IF($B14="","",IF($B14+1&gt;'Oneri mensili'!$C$4,"",G15*I15*'Oneri mensili'!$C$8))</f>
      </c>
      <c r="L15" s="81">
        <f t="shared" ca="1" si="2"/>
      </c>
      <c r="M15" s="81">
        <f t="shared" ca="1" si="0"/>
      </c>
      <c r="N15" s="80"/>
      <c r="O15" s="82">
        <f>IF($B15="","",'Oneri mensili'!$C$8)</f>
      </c>
      <c r="P15" s="82">
        <f>IF($B15="","",'Oneri mensili'!$C$8*(POWER(1+'Oneri mensili'!$C$8,$B15-1+1)))</f>
      </c>
      <c r="Q15" s="82">
        <f t="shared" si="3"/>
      </c>
      <c r="R15" s="80"/>
      <c r="S15" s="81">
        <f t="shared" si="1"/>
      </c>
      <c r="T15" s="81">
        <f>IF(S15="","",J15/(POWER(1+'Oneri mensili'!$C$8,$B15-1+1)))</f>
      </c>
      <c r="U15" s="83">
        <f t="shared" ca="1" si="4"/>
      </c>
      <c r="V15" s="81">
        <f ca="1">IF($B15="","",K15/(POWER(1+'Oneri mensili'!$C$8,$B15-1+1)))</f>
      </c>
      <c r="W15" s="80"/>
      <c r="X15" s="83"/>
      <c r="Y15" s="84"/>
    </row>
    <row r="16" spans="1:25" s="85" customFormat="1">
      <c r="A16" s="76"/>
      <c r="B16" s="77">
        <f>IF($B15="","",IF($B15+1&gt;'Oneri mensili'!$C$4,"",Schema!B15+1))</f>
      </c>
      <c r="C16" s="78">
        <f ca="1">IF($B15="","",IF($B15+1&gt;'Oneri mensili'!$C$4,"",EOMONTH(C15,0)+1))</f>
      </c>
      <c r="D16" s="76"/>
      <c r="E16" s="78">
        <f ca="1">IF($B15="","",IF($B15+1&gt;'Oneri mensili'!$C$4,"",F15+1))</f>
      </c>
      <c r="F16" s="78">
        <f ca="1">IF($B15="","",IF($B15+1&gt;'Oneri mensili'!$C$4,"",EOMONTH(E16,0)))</f>
      </c>
      <c r="G16" s="79">
        <f ca="1">IF($B15="","",IF($B15+1&gt;'Oneri mensili'!$C$4,"",(F16-E16)+1)/DAY(F16))</f>
      </c>
      <c r="H16" s="80"/>
      <c r="I16" s="81">
        <f>IF($B15="","",IF($B15+1&gt;'Oneri mensili'!$C$4,"",I15-J15))</f>
      </c>
      <c r="J16" s="81">
        <f ca="1">IF($B15="","",IF($B15+1&gt;'Oneri mensili'!$C$4,"",IF(B15&lt;'Oneri mensili'!$C$11-1,0,IF('Oneri mensili'!$C$10=dropdowns!$B$186,'Oneri mensili'!$J$3,IF('Oneri mensili'!$C$10=dropdowns!$B$185,IFERROR('Oneri mensili'!$J$3-K16,0),0)))))</f>
      </c>
      <c r="K16" s="81">
        <f ca="1">IF($B15="","",IF($B15+1&gt;'Oneri mensili'!$C$4,"",G16*I16*'Oneri mensili'!$C$8))</f>
      </c>
      <c r="L16" s="81">
        <f t="shared" ca="1" si="2"/>
      </c>
      <c r="M16" s="81">
        <f t="shared" ca="1" si="0"/>
      </c>
      <c r="N16" s="80"/>
      <c r="O16" s="82">
        <f>IF($B16="","",'Oneri mensili'!$C$8)</f>
      </c>
      <c r="P16" s="82">
        <f>IF($B16="","",'Oneri mensili'!$C$8*(POWER(1+'Oneri mensili'!$C$8,$B16-1+1)))</f>
      </c>
      <c r="Q16" s="82">
        <f t="shared" ca="1" si="3"/>
      </c>
      <c r="R16" s="80"/>
      <c r="S16" s="81">
        <f t="shared" si="1"/>
      </c>
      <c r="T16" s="81">
        <f ca="1">IF(S16="","",J16/(POWER(1+'Oneri mensili'!$C$8,$B16-1+1)))</f>
      </c>
      <c r="U16" s="83">
        <f t="shared" ca="1" si="4"/>
      </c>
      <c r="V16" s="81">
        <f ca="1">IF($B16="","",K16/(POWER(1+'Oneri mensili'!$C$8,$B16-1+1)))</f>
      </c>
      <c r="W16" s="80"/>
      <c r="X16" s="83"/>
      <c r="Y16" s="84"/>
    </row>
    <row r="17" spans="1:28" s="85" customFormat="1">
      <c r="A17" s="76"/>
      <c r="B17" s="77">
        <f>IF($B16="","",IF($B16+1&gt;'Oneri mensili'!$C$4,"",Schema!B16+1))</f>
      </c>
      <c r="C17" s="78">
        <f ca="1">IF($B16="","",IF($B16+1&gt;'Oneri mensili'!$C$4,"",EOMONTH(C16,0)+1))</f>
      </c>
      <c r="D17" s="76"/>
      <c r="E17" s="78">
        <f ca="1">IF($B16="","",IF($B16+1&gt;'Oneri mensili'!$C$4,"",F16+1))</f>
      </c>
      <c r="F17" s="78">
        <f ca="1">IF($B16="","",IF($B16+1&gt;'Oneri mensili'!$C$4,"",EOMONTH(E17,0)))</f>
      </c>
      <c r="G17" s="79">
        <f ca="1">IF($B16="","",IF($B16+1&gt;'Oneri mensili'!$C$4,"",(F17-E17)+1)/DAY(F17))</f>
      </c>
      <c r="H17" s="80"/>
      <c r="I17" s="81">
        <f ca="1">IF($B16="","",IF($B16+1&gt;'Oneri mensili'!$C$4,"",I16-J16))</f>
      </c>
      <c r="J17" s="81">
        <f ca="1">IF($B16="","",IF($B16+1&gt;'Oneri mensili'!$C$4,"",IF(B16&lt;'Oneri mensili'!$C$11-1,0,IF('Oneri mensili'!$C$10=dropdowns!$B$186,'Oneri mensili'!$J$3,IF('Oneri mensili'!$C$10=dropdowns!$B$185,IFERROR('Oneri mensili'!$J$3-K17,0),0)))))</f>
      </c>
      <c r="K17" s="81">
        <f ca="1">IF($B16="","",IF($B16+1&gt;'Oneri mensili'!$C$4,"",G17*I17*'Oneri mensili'!$C$8))</f>
      </c>
      <c r="L17" s="81">
        <f t="shared" ca="1" si="2"/>
      </c>
      <c r="M17" s="81">
        <f t="shared" ca="1" si="0"/>
      </c>
      <c r="N17" s="80"/>
      <c r="O17" s="82">
        <f>IF($B17="","",'Oneri mensili'!$C$8)</f>
      </c>
      <c r="P17" s="82">
        <f>IF($B17="","",'Oneri mensili'!$C$8*(POWER(1+'Oneri mensili'!$C$8,$B17-1+1)))</f>
      </c>
      <c r="Q17" s="82">
        <f t="shared" ca="1" si="3"/>
      </c>
      <c r="R17" s="80"/>
      <c r="S17" s="81">
        <f t="shared" ca="1" si="1"/>
      </c>
      <c r="T17" s="81">
        <f ca="1">IF(S17="","",J17/(POWER(1+'Oneri mensili'!$C$8,$B17-1+1)))</f>
      </c>
      <c r="U17" s="83">
        <f t="shared" ca="1" si="4"/>
      </c>
      <c r="V17" s="81">
        <f ca="1">IF($B17="","",K17/(POWER(1+'Oneri mensili'!$C$8,$B17-1+1)))</f>
      </c>
      <c r="W17" s="80"/>
      <c r="X17" s="83"/>
      <c r="Y17" s="84"/>
    </row>
    <row r="18" spans="1:28" s="85" customFormat="1">
      <c r="A18" s="76"/>
      <c r="B18" s="77">
        <f>IF($B17="","",IF($B17+1&gt;'Oneri mensili'!$C$4,"",Schema!B17+1))</f>
      </c>
      <c r="C18" s="78">
        <f ca="1">IF($B17="","",IF($B17+1&gt;'Oneri mensili'!$C$4,"",EOMONTH(C17,0)+1))</f>
      </c>
      <c r="D18" s="76"/>
      <c r="E18" s="78">
        <f ca="1">IF($B17="","",IF($B17+1&gt;'Oneri mensili'!$C$4,"",F17+1))</f>
      </c>
      <c r="F18" s="78">
        <f ca="1">IF($B17="","",IF($B17+1&gt;'Oneri mensili'!$C$4,"",EOMONTH(E18,0)))</f>
      </c>
      <c r="G18" s="79">
        <f ca="1">IF($B17="","",IF($B17+1&gt;'Oneri mensili'!$C$4,"",(F18-E18)+1)/DAY(F18))</f>
      </c>
      <c r="H18" s="80"/>
      <c r="I18" s="81">
        <f ca="1">IF($B17="","",IF($B17+1&gt;'Oneri mensili'!$C$4,"",I17-J17))</f>
      </c>
      <c r="J18" s="81">
        <f ca="1">IF($B17="","",IF($B17+1&gt;'Oneri mensili'!$C$4,"",IF(B17&lt;'Oneri mensili'!$C$11-1,0,IF('Oneri mensili'!$C$10=dropdowns!$B$186,'Oneri mensili'!$J$3,IF('Oneri mensili'!$C$10=dropdowns!$B$185,IFERROR('Oneri mensili'!$J$3-K18,0),0)))))</f>
      </c>
      <c r="K18" s="81">
        <f ca="1">IF($B17="","",IF($B17+1&gt;'Oneri mensili'!$C$4,"",G18*I18*'Oneri mensili'!$C$8))</f>
      </c>
      <c r="L18" s="81">
        <f t="shared" ca="1" si="2"/>
      </c>
      <c r="M18" s="81">
        <f t="shared" ca="1" si="0"/>
      </c>
      <c r="N18" s="80"/>
      <c r="O18" s="82">
        <f>IF($B18="","",'Oneri mensili'!$C$8)</f>
      </c>
      <c r="P18" s="82">
        <f>IF($B18="","",'Oneri mensili'!$C$8*(POWER(1+'Oneri mensili'!$C$8,$B18-1+1)))</f>
      </c>
      <c r="Q18" s="82">
        <f t="shared" ca="1" si="3"/>
      </c>
      <c r="R18" s="80"/>
      <c r="S18" s="81">
        <f t="shared" ca="1" si="1"/>
      </c>
      <c r="T18" s="81">
        <f ca="1">IF(S18="","",J18/(POWER(1+'Oneri mensili'!$C$8,$B18-1+1)))</f>
      </c>
      <c r="U18" s="83">
        <f t="shared" ca="1" si="4"/>
      </c>
      <c r="V18" s="81">
        <f ca="1">IF($B18="","",K18/(POWER(1+'Oneri mensili'!$C$8,$B18-1+1)))</f>
      </c>
      <c r="W18" s="80"/>
      <c r="X18" s="83"/>
      <c r="Y18" s="84"/>
    </row>
    <row r="19" spans="1:28" s="85" customFormat="1">
      <c r="A19" s="76"/>
      <c r="B19" s="77">
        <f>IF($B18="","",IF($B18+1&gt;'Oneri mensili'!$C$4,"",Schema!B18+1))</f>
      </c>
      <c r="C19" s="78">
        <f ca="1">IF($B18="","",IF($B18+1&gt;'Oneri mensili'!$C$4,"",EOMONTH(C18,0)+1))</f>
      </c>
      <c r="D19" s="76"/>
      <c r="E19" s="78">
        <f ca="1">IF($B18="","",IF($B18+1&gt;'Oneri mensili'!$C$4,"",F18+1))</f>
      </c>
      <c r="F19" s="78">
        <f ca="1">IF($B18="","",IF($B18+1&gt;'Oneri mensili'!$C$4,"",EOMONTH(E19,0)))</f>
      </c>
      <c r="G19" s="79">
        <f ca="1">IF($B18="","",IF($B18+1&gt;'Oneri mensili'!$C$4,"",(F19-E19)+1)/DAY(F19))</f>
      </c>
      <c r="H19" s="80"/>
      <c r="I19" s="81">
        <f ca="1">IF($B18="","",IF($B18+1&gt;'Oneri mensili'!$C$4,"",I18-J18))</f>
      </c>
      <c r="J19" s="81">
        <f ca="1">IF($B18="","",IF($B18+1&gt;'Oneri mensili'!$C$4,"",IF(B18&lt;'Oneri mensili'!$C$11-1,0,IF('Oneri mensili'!$C$10=dropdowns!$B$186,'Oneri mensili'!$J$3,IF('Oneri mensili'!$C$10=dropdowns!$B$185,IFERROR('Oneri mensili'!$J$3-K19,0),0)))))</f>
      </c>
      <c r="K19" s="81">
        <f ca="1">IF($B18="","",IF($B18+1&gt;'Oneri mensili'!$C$4,"",G19*I19*'Oneri mensili'!$C$8))</f>
      </c>
      <c r="L19" s="81">
        <f t="shared" ca="1" si="2"/>
      </c>
      <c r="M19" s="81">
        <f t="shared" ca="1" si="0"/>
      </c>
      <c r="N19" s="80"/>
      <c r="O19" s="82">
        <f>IF($B19="","",'Oneri mensili'!$C$8)</f>
      </c>
      <c r="P19" s="82">
        <f>IF($B19="","",'Oneri mensili'!$C$8*(POWER(1+'Oneri mensili'!$C$8,$B19-1+1)))</f>
      </c>
      <c r="Q19" s="82">
        <f t="shared" ca="1" si="3"/>
      </c>
      <c r="R19" s="80"/>
      <c r="S19" s="81">
        <f t="shared" ca="1" si="1"/>
      </c>
      <c r="T19" s="81">
        <f ca="1">IF(S19="","",J19/(POWER(1+'Oneri mensili'!$C$8,$B19-1+1)))</f>
      </c>
      <c r="U19" s="83">
        <f t="shared" ca="1" si="4"/>
      </c>
      <c r="V19" s="81">
        <f ca="1">IF($B19="","",K19/(POWER(1+'Oneri mensili'!$C$8,$B19-1+1)))</f>
      </c>
      <c r="W19" s="80"/>
      <c r="X19" s="83"/>
      <c r="Y19" s="84"/>
    </row>
    <row r="20" spans="1:28" s="85" customFormat="1">
      <c r="A20" s="76"/>
      <c r="B20" s="77">
        <f>IF($B19="","",IF($B19+1&gt;'Oneri mensili'!$C$4,"",Schema!B19+1))</f>
      </c>
      <c r="C20" s="78">
        <f ca="1">IF($B19="","",IF($B19+1&gt;'Oneri mensili'!$C$4,"",EOMONTH(C19,0)+1))</f>
      </c>
      <c r="D20" s="76"/>
      <c r="E20" s="78">
        <f ca="1">IF($B19="","",IF($B19+1&gt;'Oneri mensili'!$C$4,"",F19+1))</f>
      </c>
      <c r="F20" s="78">
        <f ca="1">IF($B19="","",IF($B19+1&gt;'Oneri mensili'!$C$4,"",EOMONTH(E20,0)))</f>
      </c>
      <c r="G20" s="79">
        <f ca="1">IF($B19="","",IF($B19+1&gt;'Oneri mensili'!$C$4,"",(F20-E20)+1)/DAY(F20))</f>
      </c>
      <c r="H20" s="80"/>
      <c r="I20" s="81">
        <f ca="1">IF($B19="","",IF($B19+1&gt;'Oneri mensili'!$C$4,"",I19-J19))</f>
      </c>
      <c r="J20" s="81">
        <f ca="1">IF($B19="","",IF($B19+1&gt;'Oneri mensili'!$C$4,"",IF(B19&lt;'Oneri mensili'!$C$11-1,0,IF('Oneri mensili'!$C$10=dropdowns!$B$186,'Oneri mensili'!$J$3,IF('Oneri mensili'!$C$10=dropdowns!$B$185,IFERROR('Oneri mensili'!$J$3-K20,0),0)))))</f>
      </c>
      <c r="K20" s="81">
        <f ca="1">IF($B19="","",IF($B19+1&gt;'Oneri mensili'!$C$4,"",G20*I20*'Oneri mensili'!$C$8))</f>
      </c>
      <c r="L20" s="81">
        <f t="shared" ca="1" si="2"/>
      </c>
      <c r="M20" s="81">
        <f t="shared" ca="1" si="0"/>
      </c>
      <c r="N20" s="80"/>
      <c r="O20" s="82">
        <f>IF($B20="","",'Oneri mensili'!$C$8)</f>
      </c>
      <c r="P20" s="82">
        <f>IF($B20="","",'Oneri mensili'!$C$8*(POWER(1+'Oneri mensili'!$C$8,$B20-1+1)))</f>
      </c>
      <c r="Q20" s="82">
        <f t="shared" ca="1" si="3"/>
      </c>
      <c r="R20" s="80"/>
      <c r="S20" s="81">
        <f t="shared" ca="1" si="1"/>
      </c>
      <c r="T20" s="81">
        <f ca="1">IF(S20="","",J20/(POWER(1+'Oneri mensili'!$C$8,$B20-1+1)))</f>
      </c>
      <c r="U20" s="83">
        <f t="shared" ca="1" si="4"/>
      </c>
      <c r="V20" s="81">
        <f ca="1">IF($B20="","",K20/(POWER(1+'Oneri mensili'!$C$8,$B20-1+1)))</f>
      </c>
      <c r="W20" s="80"/>
      <c r="X20" s="83"/>
      <c r="Y20" s="84"/>
    </row>
    <row r="21" spans="1:28" s="85" customFormat="1">
      <c r="A21" s="76"/>
      <c r="B21" s="77">
        <f>IF($B20="","",IF($B20+1&gt;'Oneri mensili'!$C$4,"",Schema!B20+1))</f>
      </c>
      <c r="C21" s="78">
        <f ca="1">IF($B20="","",IF($B20+1&gt;'Oneri mensili'!$C$4,"",EOMONTH(C20,0)+1))</f>
      </c>
      <c r="D21" s="76"/>
      <c r="E21" s="78">
        <f ca="1">IF($B20="","",IF($B20+1&gt;'Oneri mensili'!$C$4,"",F20+1))</f>
      </c>
      <c r="F21" s="78">
        <f ca="1">IF($B20="","",IF($B20+1&gt;'Oneri mensili'!$C$4,"",EOMONTH(E21,0)))</f>
      </c>
      <c r="G21" s="79">
        <f ca="1">IF($B20="","",IF($B20+1&gt;'Oneri mensili'!$C$4,"",(F21-E21)+1)/DAY(F21))</f>
      </c>
      <c r="H21" s="80"/>
      <c r="I21" s="81">
        <f ca="1">IF($B20="","",IF($B20+1&gt;'Oneri mensili'!$C$4,"",I20-J20))</f>
      </c>
      <c r="J21" s="81">
        <f ca="1">IF($B20="","",IF($B20+1&gt;'Oneri mensili'!$C$4,"",IF(B20&lt;'Oneri mensili'!$C$11-1,0,IF('Oneri mensili'!$C$10=dropdowns!$B$186,'Oneri mensili'!$J$3,IF('Oneri mensili'!$C$10=dropdowns!$B$185,IFERROR('Oneri mensili'!$J$3-K21,0),0)))))</f>
      </c>
      <c r="K21" s="81">
        <f ca="1">IF($B20="","",IF($B20+1&gt;'Oneri mensili'!$C$4,"",G21*I21*'Oneri mensili'!$C$8))</f>
      </c>
      <c r="L21" s="81">
        <f t="shared" ca="1" si="2"/>
      </c>
      <c r="M21" s="81">
        <f t="shared" ca="1" si="0"/>
      </c>
      <c r="N21" s="80"/>
      <c r="O21" s="82">
        <f>IF($B21="","",'Oneri mensili'!$C$8)</f>
      </c>
      <c r="P21" s="82">
        <f>IF($B21="","",'Oneri mensili'!$C$8*(POWER(1+'Oneri mensili'!$C$8,$B21-1+1)))</f>
      </c>
      <c r="Q21" s="82">
        <f t="shared" ca="1" si="3"/>
      </c>
      <c r="R21" s="80"/>
      <c r="S21" s="81">
        <f t="shared" ca="1" si="1"/>
      </c>
      <c r="T21" s="81">
        <f ca="1">IF(S21="","",J21/(POWER(1+'Oneri mensili'!$C$8,$B21-1+1)))</f>
      </c>
      <c r="U21" s="83">
        <f t="shared" ca="1" si="4"/>
      </c>
      <c r="V21" s="81">
        <f ca="1">IF($B21="","",K21/(POWER(1+'Oneri mensili'!$C$8,$B21-1+1)))</f>
      </c>
      <c r="W21" s="80"/>
      <c r="X21" s="83"/>
      <c r="Y21" s="84"/>
    </row>
    <row r="22" spans="1:28" s="85" customFormat="1">
      <c r="A22" s="76"/>
      <c r="B22" s="77">
        <f>IF($B21="","",IF($B21+1&gt;'Oneri mensili'!$C$4,"",Schema!B21+1))</f>
      </c>
      <c r="C22" s="78">
        <f ca="1">IF($B21="","",IF($B21+1&gt;'Oneri mensili'!$C$4,"",EOMONTH(C21,0)+1))</f>
      </c>
      <c r="D22" s="76"/>
      <c r="E22" s="78">
        <f ca="1">IF($B21="","",IF($B21+1&gt;'Oneri mensili'!$C$4,"",F21+1))</f>
      </c>
      <c r="F22" s="78">
        <f ca="1">IF($B21="","",IF($B21+1&gt;'Oneri mensili'!$C$4,"",EOMONTH(E22,0)))</f>
      </c>
      <c r="G22" s="79">
        <f ca="1">IF($B21="","",IF($B21+1&gt;'Oneri mensili'!$C$4,"",(F22-E22)+1)/DAY(F22))</f>
      </c>
      <c r="H22" s="80"/>
      <c r="I22" s="81">
        <f ca="1">IF($B21="","",IF($B21+1&gt;'Oneri mensili'!$C$4,"",I21-J21))</f>
      </c>
      <c r="J22" s="81">
        <f ca="1">IF($B21="","",IF($B21+1&gt;'Oneri mensili'!$C$4,"",IF(B21&lt;'Oneri mensili'!$C$11-1,0,IF('Oneri mensili'!$C$10=dropdowns!$B$186,'Oneri mensili'!$J$3,IF('Oneri mensili'!$C$10=dropdowns!$B$185,IFERROR('Oneri mensili'!$J$3-K22,0),0)))))</f>
      </c>
      <c r="K22" s="81">
        <f ca="1">IF($B21="","",IF($B21+1&gt;'Oneri mensili'!$C$4,"",G22*I22*'Oneri mensili'!$C$8))</f>
      </c>
      <c r="L22" s="81">
        <f t="shared" ca="1" si="2"/>
      </c>
      <c r="M22" s="81">
        <f t="shared" ca="1" si="0"/>
      </c>
      <c r="N22" s="80"/>
      <c r="O22" s="82">
        <f>IF($B22="","",'Oneri mensili'!$C$8)</f>
      </c>
      <c r="P22" s="82">
        <f>IF($B22="","",'Oneri mensili'!$C$8*(POWER(1+'Oneri mensili'!$C$8,$B22-1+1)))</f>
      </c>
      <c r="Q22" s="82">
        <f t="shared" ca="1" si="3"/>
      </c>
      <c r="R22" s="80"/>
      <c r="S22" s="81">
        <f t="shared" ca="1" si="1"/>
      </c>
      <c r="T22" s="81">
        <f ca="1">IF(S22="","",J22/(POWER(1+'Oneri mensili'!$C$8,$B22-1+1)))</f>
      </c>
      <c r="U22" s="83">
        <f t="shared" ca="1" si="4"/>
      </c>
      <c r="V22" s="81">
        <f ca="1">IF($B22="","",K22/(POWER(1+'Oneri mensili'!$C$8,$B22-1+1)))</f>
      </c>
      <c r="W22" s="80"/>
      <c r="X22" s="83"/>
      <c r="Y22" s="86"/>
    </row>
    <row r="23" spans="1:28" s="85" customFormat="1">
      <c r="A23" s="76"/>
      <c r="B23" s="77">
        <f>IF($B22="","",IF($B22+1&gt;'Oneri mensili'!$C$4,"",Schema!B22+1))</f>
      </c>
      <c r="C23" s="78">
        <f ca="1">IF($B22="","",IF($B22+1&gt;'Oneri mensili'!$C$4,"",EOMONTH(C22,0)+1))</f>
      </c>
      <c r="D23" s="76"/>
      <c r="E23" s="78">
        <f ca="1">IF($B22="","",IF($B22+1&gt;'Oneri mensili'!$C$4,"",F22+1))</f>
      </c>
      <c r="F23" s="78">
        <f ca="1">IF($B22="","",IF($B22+1&gt;'Oneri mensili'!$C$4,"",EOMONTH(E23,0)))</f>
      </c>
      <c r="G23" s="79">
        <f ca="1">IF($B22="","",IF($B22+1&gt;'Oneri mensili'!$C$4,"",(F23-E23)+1)/DAY(F23))</f>
      </c>
      <c r="H23" s="80"/>
      <c r="I23" s="81">
        <f ca="1">IF($B22="","",IF($B22+1&gt;'Oneri mensili'!$C$4,"",I22-J22))</f>
      </c>
      <c r="J23" s="81">
        <f ca="1">IF($B22="","",IF($B22+1&gt;'Oneri mensili'!$C$4,"",IF(B22&lt;'Oneri mensili'!$C$11-1,0,IF('Oneri mensili'!$C$10=dropdowns!$B$186,'Oneri mensili'!$J$3,IF('Oneri mensili'!$C$10=dropdowns!$B$185,IFERROR('Oneri mensili'!$J$3-K23,0),0)))))</f>
      </c>
      <c r="K23" s="81">
        <f ca="1">IF($B22="","",IF($B22+1&gt;'Oneri mensili'!$C$4,"",G23*I23*'Oneri mensili'!$C$8))</f>
      </c>
      <c r="L23" s="81">
        <f t="shared" ca="1" si="2"/>
      </c>
      <c r="M23" s="81">
        <f t="shared" ca="1" si="0"/>
      </c>
      <c r="N23" s="80"/>
      <c r="O23" s="82">
        <f>IF($B23="","",'Oneri mensili'!$C$8)</f>
      </c>
      <c r="P23" s="82">
        <f>IF($B23="","",'Oneri mensili'!$C$8*(POWER(1+'Oneri mensili'!$C$8,$B23-1+1)))</f>
      </c>
      <c r="Q23" s="82">
        <f t="shared" ca="1" si="3"/>
      </c>
      <c r="R23" s="80"/>
      <c r="S23" s="81">
        <f t="shared" ca="1" si="1"/>
      </c>
      <c r="T23" s="81">
        <f ca="1">IF(S23="","",J23/(POWER(1+'Oneri mensili'!$C$8,$B23-1+1)))</f>
      </c>
      <c r="U23" s="83">
        <f t="shared" ca="1" si="4"/>
      </c>
      <c r="V23" s="81">
        <f ca="1">IF($B23="","",K23/(POWER(1+'Oneri mensili'!$C$8,$B23-1+1)))</f>
      </c>
      <c r="W23" s="80"/>
      <c r="X23" s="83"/>
      <c r="Y23" s="84"/>
    </row>
    <row r="24" spans="1:28" s="85" customFormat="1">
      <c r="A24" s="76"/>
      <c r="B24" s="77">
        <f>IF($B23="","",IF($B23+1&gt;'Oneri mensili'!$C$4,"",Schema!B23+1))</f>
      </c>
      <c r="C24" s="78">
        <f ca="1">IF($B23="","",IF($B23+1&gt;'Oneri mensili'!$C$4,"",EOMONTH(C23,0)+1))</f>
      </c>
      <c r="D24" s="76"/>
      <c r="E24" s="78">
        <f ca="1">IF($B23="","",IF($B23+1&gt;'Oneri mensili'!$C$4,"",F23+1))</f>
      </c>
      <c r="F24" s="78">
        <f ca="1">IF($B23="","",IF($B23+1&gt;'Oneri mensili'!$C$4,"",EOMONTH(E24,0)))</f>
      </c>
      <c r="G24" s="79">
        <f ca="1">IF($B23="","",IF($B23+1&gt;'Oneri mensili'!$C$4,"",(F24-E24)+1)/DAY(F24))</f>
      </c>
      <c r="H24" s="80"/>
      <c r="I24" s="81">
        <f ca="1">IF($B23="","",IF($B23+1&gt;'Oneri mensili'!$C$4,"",I23-J23))</f>
      </c>
      <c r="J24" s="81">
        <f ca="1">IF($B23="","",IF($B23+1&gt;'Oneri mensili'!$C$4,"",IF(B23&lt;'Oneri mensili'!$C$11-1,0,IF('Oneri mensili'!$C$10=dropdowns!$B$186,'Oneri mensili'!$J$3,IF('Oneri mensili'!$C$10=dropdowns!$B$185,IFERROR('Oneri mensili'!$J$3-K24,0),0)))))</f>
      </c>
      <c r="K24" s="81">
        <f ca="1">IF($B23="","",IF($B23+1&gt;'Oneri mensili'!$C$4,"",G24*I24*'Oneri mensili'!$C$8))</f>
      </c>
      <c r="L24" s="81">
        <f t="shared" ca="1" si="2"/>
      </c>
      <c r="M24" s="81">
        <f t="shared" ca="1" si="0"/>
      </c>
      <c r="N24" s="80"/>
      <c r="O24" s="82">
        <f>IF($B24="","",'Oneri mensili'!$C$8)</f>
      </c>
      <c r="P24" s="82">
        <f>IF($B24="","",'Oneri mensili'!$C$8*(POWER(1+'Oneri mensili'!$C$8,$B24-1+1)))</f>
      </c>
      <c r="Q24" s="82">
        <f t="shared" ca="1" si="3"/>
      </c>
      <c r="R24" s="80"/>
      <c r="S24" s="81">
        <f t="shared" ca="1" si="1"/>
      </c>
      <c r="T24" s="81">
        <f ca="1">IF(S24="","",J24/(POWER(1+'Oneri mensili'!$C$8,$B24-1+1)))</f>
      </c>
      <c r="U24" s="83">
        <f t="shared" ca="1" si="4"/>
      </c>
      <c r="V24" s="81">
        <f ca="1">IF($B24="","",K24/(POWER(1+'Oneri mensili'!$C$8,$B24-1+1)))</f>
      </c>
      <c r="W24" s="80"/>
      <c r="X24" s="83"/>
      <c r="Y24" s="86"/>
    </row>
    <row r="25" spans="1:28" s="85" customFormat="1">
      <c r="A25" s="76"/>
      <c r="B25" s="77">
        <f>IF($B24="","",IF($B24+1&gt;'Oneri mensili'!$C$4,"",Schema!B24+1))</f>
      </c>
      <c r="C25" s="78">
        <f ca="1">IF($B24="","",IF($B24+1&gt;'Oneri mensili'!$C$4,"",EOMONTH(C24,0)+1))</f>
      </c>
      <c r="D25" s="76"/>
      <c r="E25" s="78">
        <f ca="1">IF($B24="","",IF($B24+1&gt;'Oneri mensili'!$C$4,"",F24+1))</f>
      </c>
      <c r="F25" s="78">
        <f ca="1">IF($B24="","",IF($B24+1&gt;'Oneri mensili'!$C$4,"",EOMONTH(E25,0)))</f>
      </c>
      <c r="G25" s="79">
        <f ca="1">IF($B24="","",IF($B24+1&gt;'Oneri mensili'!$C$4,"",(F25-E25)+1)/DAY(F25))</f>
      </c>
      <c r="H25" s="80"/>
      <c r="I25" s="81">
        <f ca="1">IF($B24="","",IF($B24+1&gt;'Oneri mensili'!$C$4,"",I24-J24))</f>
      </c>
      <c r="J25" s="81">
        <f ca="1">IF($B24="","",IF($B24+1&gt;'Oneri mensili'!$C$4,"",IF(B24&lt;'Oneri mensili'!$C$11-1,0,IF('Oneri mensili'!$C$10=dropdowns!$B$186,'Oneri mensili'!$J$3,IF('Oneri mensili'!$C$10=dropdowns!$B$185,IFERROR('Oneri mensili'!$J$3-K25,0),0)))))</f>
      </c>
      <c r="K25" s="81">
        <f ca="1">IF($B24="","",IF($B24+1&gt;'Oneri mensili'!$C$4,"",G25*I25*'Oneri mensili'!$C$8))</f>
      </c>
      <c r="L25" s="81">
        <f t="shared" ca="1" si="2"/>
      </c>
      <c r="M25" s="81">
        <f t="shared" ca="1" si="0"/>
      </c>
      <c r="N25" s="80"/>
      <c r="O25" s="82">
        <f>IF($B25="","",'Oneri mensili'!$C$8)</f>
      </c>
      <c r="P25" s="82">
        <f>IF($B25="","",'Oneri mensili'!$C$8*(POWER(1+'Oneri mensili'!$C$8,$B25-1+1)))</f>
      </c>
      <c r="Q25" s="82">
        <f t="shared" ca="1" si="3"/>
      </c>
      <c r="R25" s="80"/>
      <c r="S25" s="81">
        <f t="shared" ca="1" si="1"/>
      </c>
      <c r="T25" s="81">
        <f ca="1">IF(S25="","",J25/(POWER(1+'Oneri mensili'!$C$8,$B25-1+1)))</f>
      </c>
      <c r="U25" s="83">
        <f t="shared" ca="1" si="4"/>
      </c>
      <c r="V25" s="81">
        <f ca="1">IF($B25="","",K25/(POWER(1+'Oneri mensili'!$C$8,$B25-1+1)))</f>
      </c>
      <c r="W25" s="80"/>
      <c r="X25" s="83"/>
      <c r="Y25" s="84"/>
    </row>
    <row r="26" spans="1:28" s="85" customFormat="1">
      <c r="A26" s="76"/>
      <c r="B26" s="77">
        <f>IF($B25="","",IF($B25+1&gt;'Oneri mensili'!$C$4,"",Schema!B25+1))</f>
      </c>
      <c r="C26" s="78">
        <f ca="1">IF($B25="","",IF($B25+1&gt;'Oneri mensili'!$C$4,"",EOMONTH(C25,0)+1))</f>
      </c>
      <c r="D26" s="76"/>
      <c r="E26" s="78">
        <f ca="1">IF($B25="","",IF($B25+1&gt;'Oneri mensili'!$C$4,"",F25+1))</f>
      </c>
      <c r="F26" s="78">
        <f ca="1">IF($B25="","",IF($B25+1&gt;'Oneri mensili'!$C$4,"",EOMONTH(E26,0)))</f>
      </c>
      <c r="G26" s="79">
        <f ca="1">IF($B25="","",IF($B25+1&gt;'Oneri mensili'!$C$4,"",(F26-E26)+1)/DAY(F26))</f>
      </c>
      <c r="H26" s="80"/>
      <c r="I26" s="81">
        <f ca="1">IF($B25="","",IF($B25+1&gt;'Oneri mensili'!$C$4,"",I25-J25))</f>
      </c>
      <c r="J26" s="81">
        <f ca="1">IF($B25="","",IF($B25+1&gt;'Oneri mensili'!$C$4,"",IF(B25&lt;'Oneri mensili'!$C$11-1,0,IF('Oneri mensili'!$C$10=dropdowns!$B$186,'Oneri mensili'!$J$3,IF('Oneri mensili'!$C$10=dropdowns!$B$185,IFERROR('Oneri mensili'!$J$3-K26,0),0)))))</f>
      </c>
      <c r="K26" s="81">
        <f ca="1">IF($B25="","",IF($B25+1&gt;'Oneri mensili'!$C$4,"",G26*I26*'Oneri mensili'!$C$8))</f>
      </c>
      <c r="L26" s="81">
        <f t="shared" ca="1" si="2"/>
      </c>
      <c r="M26" s="81">
        <f t="shared" ca="1" si="0"/>
      </c>
      <c r="N26" s="80"/>
      <c r="O26" s="82">
        <f>IF($B26="","",'Oneri mensili'!$C$8)</f>
      </c>
      <c r="P26" s="82">
        <f>IF($B26="","",'Oneri mensili'!$C$8*(POWER(1+'Oneri mensili'!$C$8,$B26-1+1)))</f>
      </c>
      <c r="Q26" s="82">
        <f t="shared" ca="1" si="3"/>
      </c>
      <c r="R26" s="80"/>
      <c r="S26" s="81">
        <f t="shared" ca="1" si="1"/>
      </c>
      <c r="T26" s="81">
        <f ca="1">IF(S26="","",J26/(POWER(1+'Oneri mensili'!$C$8,$B26-1+1)))</f>
      </c>
      <c r="U26" s="83">
        <f t="shared" ca="1" si="4"/>
      </c>
      <c r="V26" s="81">
        <f ca="1">IF($B26="","",K26/(POWER(1+'Oneri mensili'!$C$8,$B26-1+1)))</f>
      </c>
      <c r="W26" s="80"/>
      <c r="X26" s="83"/>
      <c r="Y26" s="84"/>
    </row>
    <row r="27" spans="1:28" s="85" customFormat="1">
      <c r="A27" s="76"/>
      <c r="B27" s="77">
        <f>IF($B26="","",IF($B26+1&gt;'Oneri mensili'!$C$4,"",Schema!B26+1))</f>
      </c>
      <c r="C27" s="78">
        <f ca="1">IF($B26="","",IF($B26+1&gt;'Oneri mensili'!$C$4,"",EOMONTH(C26,0)+1))</f>
      </c>
      <c r="D27" s="76"/>
      <c r="E27" s="78">
        <f ca="1">IF($B26="","",IF($B26+1&gt;'Oneri mensili'!$C$4,"",F26+1))</f>
      </c>
      <c r="F27" s="78">
        <f ca="1">IF($B26="","",IF($B26+1&gt;'Oneri mensili'!$C$4,"",EOMONTH(E27,0)))</f>
      </c>
      <c r="G27" s="79">
        <f ca="1">IF($B26="","",IF($B26+1&gt;'Oneri mensili'!$C$4,"",(F27-E27)+1)/DAY(F27))</f>
      </c>
      <c r="H27" s="80"/>
      <c r="I27" s="81">
        <f ca="1">IF($B26="","",IF($B26+1&gt;'Oneri mensili'!$C$4,"",I26-J26))</f>
      </c>
      <c r="J27" s="81">
        <f ca="1">IF($B26="","",IF($B26+1&gt;'Oneri mensili'!$C$4,"",IF(B26&lt;'Oneri mensili'!$C$11-1,0,IF('Oneri mensili'!$C$10=dropdowns!$B$186,'Oneri mensili'!$J$3,IF('Oneri mensili'!$C$10=dropdowns!$B$185,IFERROR('Oneri mensili'!$J$3-K27,0),0)))))</f>
      </c>
      <c r="K27" s="81">
        <f ca="1">IF($B26="","",IF($B26+1&gt;'Oneri mensili'!$C$4,"",G27*I27*'Oneri mensili'!$C$8))</f>
      </c>
      <c r="L27" s="81">
        <f t="shared" ca="1" si="2"/>
      </c>
      <c r="M27" s="81">
        <f t="shared" ca="1" si="0"/>
      </c>
      <c r="N27" s="80"/>
      <c r="O27" s="82">
        <f>IF($B27="","",'Oneri mensili'!$C$8)</f>
      </c>
      <c r="P27" s="82">
        <f>IF($B27="","",'Oneri mensili'!$C$8*(POWER(1+'Oneri mensili'!$C$8,$B27-1+1)))</f>
      </c>
      <c r="Q27" s="82">
        <f t="shared" ca="1" si="3"/>
      </c>
      <c r="R27" s="80"/>
      <c r="S27" s="81">
        <f t="shared" ca="1" si="1"/>
      </c>
      <c r="T27" s="81">
        <f ca="1">IF(S27="","",J27/(POWER(1+'Oneri mensili'!$C$8,$B27-1+1)))</f>
      </c>
      <c r="U27" s="83">
        <f t="shared" ca="1" si="4"/>
      </c>
      <c r="V27" s="81">
        <f ca="1">IF($B27="","",K27/(POWER(1+'Oneri mensili'!$C$8,$B27-1+1)))</f>
      </c>
      <c r="W27" s="80"/>
      <c r="X27" s="83"/>
      <c r="Y27" s="87"/>
      <c r="Z27" s="87"/>
      <c r="AA27" s="87"/>
      <c r="AB27" s="87"/>
    </row>
    <row r="28" spans="1:28" s="85" customFormat="1">
      <c r="A28" s="76"/>
      <c r="B28" s="77">
        <f>IF($B27="","",IF($B27+1&gt;'Oneri mensili'!$C$4,"",Schema!B27+1))</f>
      </c>
      <c r="C28" s="78">
        <f ca="1">IF($B27="","",IF($B27+1&gt;'Oneri mensili'!$C$4,"",EOMONTH(C27,0)+1))</f>
      </c>
      <c r="D28" s="76"/>
      <c r="E28" s="78">
        <f ca="1">IF($B27="","",IF($B27+1&gt;'Oneri mensili'!$C$4,"",F27+1))</f>
      </c>
      <c r="F28" s="78">
        <f ca="1">IF($B27="","",IF($B27+1&gt;'Oneri mensili'!$C$4,"",EOMONTH(E28,0)))</f>
      </c>
      <c r="G28" s="79">
        <f ca="1">IF($B27="","",IF($B27+1&gt;'Oneri mensili'!$C$4,"",(F28-E28)+1)/DAY(F28))</f>
      </c>
      <c r="H28" s="80"/>
      <c r="I28" s="81">
        <f ca="1">IF($B27="","",IF($B27+1&gt;'Oneri mensili'!$C$4,"",I27-J27))</f>
      </c>
      <c r="J28" s="81">
        <f ca="1">IF($B27="","",IF($B27+1&gt;'Oneri mensili'!$C$4,"",IF(B27&lt;'Oneri mensili'!$C$11-1,0,IF('Oneri mensili'!$C$10=dropdowns!$B$186,'Oneri mensili'!$J$3,IF('Oneri mensili'!$C$10=dropdowns!$B$185,IFERROR('Oneri mensili'!$J$3-K28,0),0)))))</f>
      </c>
      <c r="K28" s="81">
        <f ca="1">IF($B27="","",IF($B27+1&gt;'Oneri mensili'!$C$4,"",G28*I28*'Oneri mensili'!$C$8))</f>
      </c>
      <c r="L28" s="81">
        <f t="shared" ca="1" si="2"/>
      </c>
      <c r="M28" s="81">
        <f t="shared" ca="1" si="0"/>
      </c>
      <c r="N28" s="80"/>
      <c r="O28" s="82">
        <f>IF($B28="","",'Oneri mensili'!$C$8)</f>
      </c>
      <c r="P28" s="82">
        <f>IF($B28="","",'Oneri mensili'!$C$8*(POWER(1+'Oneri mensili'!$C$8,$B28-1+1)))</f>
      </c>
      <c r="Q28" s="82">
        <f t="shared" ca="1" si="3"/>
      </c>
      <c r="R28" s="80"/>
      <c r="S28" s="81">
        <f t="shared" ca="1" si="1"/>
      </c>
      <c r="T28" s="81">
        <f ca="1">IF(S28="","",J28/(POWER(1+'Oneri mensili'!$C$8,$B28-1+1)))</f>
      </c>
      <c r="U28" s="83">
        <f t="shared" ca="1" si="4"/>
      </c>
      <c r="V28" s="81">
        <f ca="1">IF($B28="","",K28/(POWER(1+'Oneri mensili'!$C$8,$B28-1+1)))</f>
      </c>
      <c r="W28" s="80"/>
      <c r="X28" s="83"/>
      <c r="Y28" s="87"/>
      <c r="Z28" s="87"/>
      <c r="AA28" s="87"/>
      <c r="AB28" s="87"/>
    </row>
    <row r="29" spans="1:28" s="85" customFormat="1">
      <c r="A29" s="76"/>
      <c r="B29" s="77">
        <f>IF($B28="","",IF($B28+1&gt;'Oneri mensili'!$C$4,"",Schema!B28+1))</f>
      </c>
      <c r="C29" s="78">
        <f ca="1">IF($B28="","",IF($B28+1&gt;'Oneri mensili'!$C$4,"",EOMONTH(C28,0)+1))</f>
      </c>
      <c r="D29" s="76"/>
      <c r="E29" s="78">
        <f ca="1">IF($B28="","",IF($B28+1&gt;'Oneri mensili'!$C$4,"",F28+1))</f>
      </c>
      <c r="F29" s="78">
        <f ca="1">IF($B28="","",IF($B28+1&gt;'Oneri mensili'!$C$4,"",EOMONTH(E29,0)))</f>
      </c>
      <c r="G29" s="79">
        <f ca="1">IF($B28="","",IF($B28+1&gt;'Oneri mensili'!$C$4,"",(F29-E29)+1)/DAY(F29))</f>
      </c>
      <c r="H29" s="80"/>
      <c r="I29" s="81">
        <f ca="1">IF($B28="","",IF($B28+1&gt;'Oneri mensili'!$C$4,"",I28-J28))</f>
      </c>
      <c r="J29" s="81">
        <f ca="1">IF($B28="","",IF($B28+1&gt;'Oneri mensili'!$C$4,"",IF(B28&lt;'Oneri mensili'!$C$11-1,0,IF('Oneri mensili'!$C$10=dropdowns!$B$186,'Oneri mensili'!$J$3,IF('Oneri mensili'!$C$10=dropdowns!$B$185,IFERROR('Oneri mensili'!$J$3-K29,0),0)))))</f>
      </c>
      <c r="K29" s="81">
        <f ca="1">IF($B28="","",IF($B28+1&gt;'Oneri mensili'!$C$4,"",G29*I29*'Oneri mensili'!$C$8))</f>
      </c>
      <c r="L29" s="81">
        <f t="shared" ca="1" si="2"/>
      </c>
      <c r="M29" s="81">
        <f t="shared" ca="1" si="0"/>
      </c>
      <c r="N29" s="80"/>
      <c r="O29" s="82">
        <f>IF($B29="","",'Oneri mensili'!$C$8)</f>
      </c>
      <c r="P29" s="82">
        <f>IF($B29="","",'Oneri mensili'!$C$8*(POWER(1+'Oneri mensili'!$C$8,$B29-1+1)))</f>
      </c>
      <c r="Q29" s="82">
        <f t="shared" ca="1" si="3"/>
      </c>
      <c r="R29" s="80"/>
      <c r="S29" s="81">
        <f t="shared" ca="1" si="1"/>
      </c>
      <c r="T29" s="81">
        <f ca="1">IF(S29="","",J29/(POWER(1+'Oneri mensili'!$C$8,$B29-1+1)))</f>
      </c>
      <c r="U29" s="83">
        <f t="shared" ca="1" si="4"/>
      </c>
      <c r="V29" s="81">
        <f ca="1">IF($B29="","",K29/(POWER(1+'Oneri mensili'!$C$8,$B29-1+1)))</f>
      </c>
      <c r="W29" s="80"/>
      <c r="X29" s="83"/>
      <c r="Y29" s="87"/>
      <c r="Z29" s="87"/>
      <c r="AA29" s="87"/>
      <c r="AB29" s="87">
        <v>9.2244933777033133E-3</v>
      </c>
    </row>
    <row r="30" spans="1:28" s="85" customFormat="1">
      <c r="A30" s="76"/>
      <c r="B30" s="77">
        <f>IF($B29="","",IF($B29+1&gt;'Oneri mensili'!$C$4,"",Schema!B29+1))</f>
      </c>
      <c r="C30" s="78">
        <f ca="1">IF($B29="","",IF($B29+1&gt;'Oneri mensili'!$C$4,"",EOMONTH(C29,0)+1))</f>
      </c>
      <c r="D30" s="76"/>
      <c r="E30" s="78">
        <f ca="1">IF($B29="","",IF($B29+1&gt;'Oneri mensili'!$C$4,"",F29+1))</f>
      </c>
      <c r="F30" s="78">
        <f ca="1">IF($B29="","",IF($B29+1&gt;'Oneri mensili'!$C$4,"",EOMONTH(E30,0)))</f>
      </c>
      <c r="G30" s="79">
        <f ca="1">IF($B29="","",IF($B29+1&gt;'Oneri mensili'!$C$4,"",(F30-E30)+1)/DAY(F30))</f>
      </c>
      <c r="H30" s="80"/>
      <c r="I30" s="81">
        <f ca="1">IF($B29="","",IF($B29+1&gt;'Oneri mensili'!$C$4,"",I29-J29))</f>
      </c>
      <c r="J30" s="81">
        <f ca="1">IF($B29="","",IF($B29+1&gt;'Oneri mensili'!$C$4,"",IF(B29&lt;'Oneri mensili'!$C$11-1,0,IF('Oneri mensili'!$C$10=dropdowns!$B$186,'Oneri mensili'!$J$3,IF('Oneri mensili'!$C$10=dropdowns!$B$185,IFERROR('Oneri mensili'!$J$3-K30,0),0)))))</f>
      </c>
      <c r="K30" s="81">
        <f ca="1">IF($B29="","",IF($B29+1&gt;'Oneri mensili'!$C$4,"",G30*I30*'Oneri mensili'!$C$8))</f>
      </c>
      <c r="L30" s="81">
        <f t="shared" ca="1" si="2"/>
      </c>
      <c r="M30" s="81">
        <f t="shared" ca="1" si="0"/>
      </c>
      <c r="N30" s="80"/>
      <c r="O30" s="82">
        <f>IF($B30="","",'Oneri mensili'!$C$8)</f>
      </c>
      <c r="P30" s="82">
        <f>IF($B30="","",'Oneri mensili'!$C$8*(POWER(1+'Oneri mensili'!$C$8,$B30-1+1)))</f>
      </c>
      <c r="Q30" s="82">
        <f t="shared" ca="1" si="3"/>
      </c>
      <c r="R30" s="80"/>
      <c r="S30" s="81">
        <f t="shared" ca="1" si="1"/>
      </c>
      <c r="T30" s="81">
        <f ca="1">IF(S30="","",J30/(POWER(1+'Oneri mensili'!$C$8,$B30-1+1)))</f>
      </c>
      <c r="U30" s="83">
        <f t="shared" ca="1" si="4"/>
      </c>
      <c r="V30" s="81">
        <f ca="1">IF($B30="","",K30/(POWER(1+'Oneri mensili'!$C$8,$B30-1+1)))</f>
      </c>
      <c r="W30" s="80"/>
      <c r="X30" s="83"/>
      <c r="Y30" s="84"/>
    </row>
    <row r="31" spans="1:28" s="85" customFormat="1">
      <c r="A31" s="76"/>
      <c r="B31" s="77">
        <f>IF($B30="","",IF($B30+1&gt;'Oneri mensili'!$C$4,"",Schema!B30+1))</f>
      </c>
      <c r="C31" s="78">
        <f ca="1">IF($B30="","",IF($B30+1&gt;'Oneri mensili'!$C$4,"",EOMONTH(C30,0)+1))</f>
      </c>
      <c r="D31" s="76"/>
      <c r="E31" s="78">
        <f ca="1">IF($B30="","",IF($B30+1&gt;'Oneri mensili'!$C$4,"",F30+1))</f>
      </c>
      <c r="F31" s="78">
        <f ca="1">IF($B30="","",IF($B30+1&gt;'Oneri mensili'!$C$4,"",EOMONTH(E31,0)))</f>
      </c>
      <c r="G31" s="79">
        <f ca="1">IF($B30="","",IF($B30+1&gt;'Oneri mensili'!$C$4,"",(F31-E31)+1)/DAY(F31))</f>
      </c>
      <c r="H31" s="80"/>
      <c r="I31" s="81">
        <f ca="1">IF($B30="","",IF($B30+1&gt;'Oneri mensili'!$C$4,"",I30-J30))</f>
      </c>
      <c r="J31" s="81">
        <f ca="1">IF($B30="","",IF($B30+1&gt;'Oneri mensili'!$C$4,"",IF(B30&lt;'Oneri mensili'!$C$11-1,0,IF('Oneri mensili'!$C$10=dropdowns!$B$186,'Oneri mensili'!$J$3,IF('Oneri mensili'!$C$10=dropdowns!$B$185,IFERROR('Oneri mensili'!$J$3-K31,0),0)))))</f>
      </c>
      <c r="K31" s="81">
        <f ca="1">IF($B30="","",IF($B30+1&gt;'Oneri mensili'!$C$4,"",G31*I31*'Oneri mensili'!$C$8))</f>
      </c>
      <c r="L31" s="81">
        <f t="shared" ca="1" si="2"/>
      </c>
      <c r="M31" s="81">
        <f t="shared" ca="1" si="0"/>
      </c>
      <c r="N31" s="80"/>
      <c r="O31" s="82">
        <f>IF($B31="","",'Oneri mensili'!$C$8)</f>
      </c>
      <c r="P31" s="82">
        <f>IF($B31="","",'Oneri mensili'!$C$8*(POWER(1+'Oneri mensili'!$C$8,$B31-1+1)))</f>
      </c>
      <c r="Q31" s="82">
        <f t="shared" ca="1" si="3"/>
      </c>
      <c r="R31" s="80"/>
      <c r="S31" s="81">
        <f t="shared" ca="1" si="1"/>
      </c>
      <c r="T31" s="81">
        <f ca="1">IF(S31="","",J31/(POWER(1+'Oneri mensili'!$C$8,$B31-1+1)))</f>
      </c>
      <c r="U31" s="83">
        <f t="shared" ca="1" si="4"/>
      </c>
      <c r="V31" s="81">
        <f ca="1">IF($B31="","",K31/(POWER(1+'Oneri mensili'!$C$8,$B31-1+1)))</f>
      </c>
      <c r="W31" s="80"/>
      <c r="X31" s="83"/>
      <c r="Y31" s="86"/>
    </row>
    <row r="32" spans="1:28" s="85" customFormat="1">
      <c r="A32" s="76"/>
      <c r="B32" s="77">
        <f>IF($B31="","",IF($B31+1&gt;'Oneri mensili'!$C$4,"",Schema!B31+1))</f>
      </c>
      <c r="C32" s="78">
        <f ca="1">IF($B31="","",IF($B31+1&gt;'Oneri mensili'!$C$4,"",EOMONTH(C31,0)+1))</f>
      </c>
      <c r="D32" s="76"/>
      <c r="E32" s="78">
        <f ca="1">IF($B31="","",IF($B31+1&gt;'Oneri mensili'!$C$4,"",F31+1))</f>
      </c>
      <c r="F32" s="78">
        <f ca="1">IF($B31="","",IF($B31+1&gt;'Oneri mensili'!$C$4,"",EOMONTH(E32,0)))</f>
      </c>
      <c r="G32" s="79">
        <f ca="1">IF($B31="","",IF($B31+1&gt;'Oneri mensili'!$C$4,"",(F32-E32)+1)/DAY(F32))</f>
      </c>
      <c r="H32" s="80"/>
      <c r="I32" s="81">
        <f ca="1">IF($B31="","",IF($B31+1&gt;'Oneri mensili'!$C$4,"",I31-J31))</f>
      </c>
      <c r="J32" s="81">
        <f ca="1">IF($B31="","",IF($B31+1&gt;'Oneri mensili'!$C$4,"",IF(B31&lt;'Oneri mensili'!$C$11-1,0,IF('Oneri mensili'!$C$10=dropdowns!$B$186,'Oneri mensili'!$J$3,IF('Oneri mensili'!$C$10=dropdowns!$B$185,IFERROR('Oneri mensili'!$J$3-K32,0),0)))))</f>
      </c>
      <c r="K32" s="81">
        <f ca="1">IF($B31="","",IF($B31+1&gt;'Oneri mensili'!$C$4,"",G32*I32*'Oneri mensili'!$C$8))</f>
      </c>
      <c r="L32" s="81">
        <f t="shared" ca="1" si="2"/>
      </c>
      <c r="M32" s="81">
        <f t="shared" ca="1" si="0"/>
      </c>
      <c r="N32" s="80"/>
      <c r="O32" s="82">
        <f>IF($B32="","",'Oneri mensili'!$C$8)</f>
      </c>
      <c r="P32" s="82">
        <f>IF($B32="","",'Oneri mensili'!$C$8*(POWER(1+'Oneri mensili'!$C$8,$B32-1+1)))</f>
      </c>
      <c r="Q32" s="82">
        <f t="shared" ca="1" si="3"/>
      </c>
      <c r="R32" s="80"/>
      <c r="S32" s="81">
        <f t="shared" ca="1" si="1"/>
      </c>
      <c r="T32" s="81">
        <f ca="1">IF(S32="","",J32/(POWER(1+'Oneri mensili'!$C$8,$B32-1+1)))</f>
      </c>
      <c r="U32" s="83">
        <f t="shared" ca="1" si="4"/>
      </c>
      <c r="V32" s="81">
        <f ca="1">IF($B32="","",K32/(POWER(1+'Oneri mensili'!$C$8,$B32-1+1)))</f>
      </c>
      <c r="W32" s="80"/>
      <c r="X32" s="83"/>
      <c r="Y32" s="84"/>
    </row>
    <row r="33" spans="1:25" s="85" customFormat="1">
      <c r="A33" s="76"/>
      <c r="B33" s="77">
        <f>IF($B32="","",IF($B32+1&gt;'Oneri mensili'!$C$4,"",Schema!B32+1))</f>
      </c>
      <c r="C33" s="78">
        <f ca="1">IF($B32="","",IF($B32+1&gt;'Oneri mensili'!$C$4,"",EOMONTH(C32,0)+1))</f>
      </c>
      <c r="D33" s="76"/>
      <c r="E33" s="78">
        <f ca="1">IF($B32="","",IF($B32+1&gt;'Oneri mensili'!$C$4,"",F32+1))</f>
      </c>
      <c r="F33" s="78">
        <f ca="1">IF($B32="","",IF($B32+1&gt;'Oneri mensili'!$C$4,"",EOMONTH(E33,0)))</f>
      </c>
      <c r="G33" s="79">
        <f ca="1">IF($B32="","",IF($B32+1&gt;'Oneri mensili'!$C$4,"",(F33-E33)+1)/DAY(F33))</f>
      </c>
      <c r="H33" s="80"/>
      <c r="I33" s="81">
        <f ca="1">IF($B32="","",IF($B32+1&gt;'Oneri mensili'!$C$4,"",I32-J32))</f>
      </c>
      <c r="J33" s="81">
        <f ca="1">IF($B32="","",IF($B32+1&gt;'Oneri mensili'!$C$4,"",IF(B32&lt;'Oneri mensili'!$C$11-1,0,IF('Oneri mensili'!$C$10=dropdowns!$B$186,'Oneri mensili'!$J$3,IF('Oneri mensili'!$C$10=dropdowns!$B$185,IFERROR('Oneri mensili'!$J$3-K33,0),0)))))</f>
      </c>
      <c r="K33" s="81">
        <f ca="1">IF($B32="","",IF($B32+1&gt;'Oneri mensili'!$C$4,"",G33*I33*'Oneri mensili'!$C$8))</f>
      </c>
      <c r="L33" s="81">
        <f t="shared" ca="1" si="2"/>
      </c>
      <c r="M33" s="81">
        <f t="shared" ca="1" si="0"/>
      </c>
      <c r="N33" s="80"/>
      <c r="O33" s="82">
        <f>IF($B33="","",'Oneri mensili'!$C$8)</f>
      </c>
      <c r="P33" s="82">
        <f>IF($B33="","",'Oneri mensili'!$C$8*(POWER(1+'Oneri mensili'!$C$8,$B33-1+1)))</f>
      </c>
      <c r="Q33" s="82">
        <f t="shared" ca="1" si="3"/>
      </c>
      <c r="R33" s="80"/>
      <c r="S33" s="81">
        <f t="shared" ca="1" si="1"/>
      </c>
      <c r="T33" s="81">
        <f ca="1">IF(S33="","",J33/(POWER(1+'Oneri mensili'!$C$8,$B33-1+1)))</f>
      </c>
      <c r="U33" s="83">
        <f t="shared" ca="1" si="4"/>
      </c>
      <c r="V33" s="81">
        <f ca="1">IF($B33="","",K33/(POWER(1+'Oneri mensili'!$C$8,$B33-1+1)))</f>
      </c>
      <c r="W33" s="80"/>
      <c r="X33" s="83"/>
      <c r="Y33" s="84"/>
    </row>
    <row r="34" spans="1:25" s="85" customFormat="1">
      <c r="A34" s="76"/>
      <c r="B34" s="77">
        <f>IF($B33="","",IF($B33+1&gt;'Oneri mensili'!$C$4,"",Schema!B33+1))</f>
      </c>
      <c r="C34" s="78">
        <f ca="1">IF($B33="","",IF($B33+1&gt;'Oneri mensili'!$C$4,"",EOMONTH(C33,0)+1))</f>
      </c>
      <c r="D34" s="76"/>
      <c r="E34" s="78">
        <f ca="1">IF($B33="","",IF($B33+1&gt;'Oneri mensili'!$C$4,"",F33+1))</f>
      </c>
      <c r="F34" s="78">
        <f ca="1">IF($B33="","",IF($B33+1&gt;'Oneri mensili'!$C$4,"",EOMONTH(E34,0)))</f>
      </c>
      <c r="G34" s="79">
        <f ca="1">IF($B33="","",IF($B33+1&gt;'Oneri mensili'!$C$4,"",(F34-E34)+1)/DAY(F34))</f>
      </c>
      <c r="H34" s="80"/>
      <c r="I34" s="81">
        <f ca="1">IF($B33="","",IF($B33+1&gt;'Oneri mensili'!$C$4,"",I33-J33))</f>
      </c>
      <c r="J34" s="81">
        <f ca="1">IF($B33="","",IF($B33+1&gt;'Oneri mensili'!$C$4,"",IF(B33&lt;'Oneri mensili'!$C$11-1,0,IF('Oneri mensili'!$C$10=dropdowns!$B$186,'Oneri mensili'!$J$3,IF('Oneri mensili'!$C$10=dropdowns!$B$185,IFERROR('Oneri mensili'!$J$3-K34,0),0)))))</f>
      </c>
      <c r="K34" s="81">
        <f ca="1">IF($B33="","",IF($B33+1&gt;'Oneri mensili'!$C$4,"",G34*I34*'Oneri mensili'!$C$8))</f>
      </c>
      <c r="L34" s="81">
        <f t="shared" ca="1" si="2"/>
      </c>
      <c r="M34" s="81">
        <f t="shared" ca="1" si="0"/>
      </c>
      <c r="N34" s="80"/>
      <c r="O34" s="82">
        <f>IF($B34="","",'Oneri mensili'!$C$8)</f>
      </c>
      <c r="P34" s="82">
        <f>IF($B34="","",'Oneri mensili'!$C$8*(POWER(1+'Oneri mensili'!$C$8,$B34-1+1)))</f>
      </c>
      <c r="Q34" s="82">
        <f t="shared" ca="1" si="3"/>
      </c>
      <c r="R34" s="80"/>
      <c r="S34" s="81">
        <f t="shared" ca="1" si="1"/>
      </c>
      <c r="T34" s="81">
        <f ca="1">IF(S34="","",J34/(POWER(1+'Oneri mensili'!$C$8,$B34-1+1)))</f>
      </c>
      <c r="U34" s="83">
        <f t="shared" ca="1" si="4"/>
      </c>
      <c r="V34" s="81">
        <f ca="1">IF($B34="","",K34/(POWER(1+'Oneri mensili'!$C$8,$B34-1+1)))</f>
      </c>
      <c r="W34" s="80"/>
      <c r="X34" s="83"/>
      <c r="Y34" s="84"/>
    </row>
    <row r="35" spans="1:25" s="85" customFormat="1">
      <c r="A35" s="76"/>
      <c r="B35" s="77">
        <f>IF($B34="","",IF($B34+1&gt;'Oneri mensili'!$C$4,"",Schema!B34+1))</f>
      </c>
      <c r="C35" s="78">
        <f ca="1">IF($B34="","",IF($B34+1&gt;'Oneri mensili'!$C$4,"",EOMONTH(C34,0)+1))</f>
      </c>
      <c r="D35" s="76"/>
      <c r="E35" s="78">
        <f ca="1">IF($B34="","",IF($B34+1&gt;'Oneri mensili'!$C$4,"",F34+1))</f>
      </c>
      <c r="F35" s="78">
        <f ca="1">IF($B34="","",IF($B34+1&gt;'Oneri mensili'!$C$4,"",EOMONTH(E35,0)))</f>
      </c>
      <c r="G35" s="79">
        <f ca="1">IF($B34="","",IF($B34+1&gt;'Oneri mensili'!$C$4,"",(F35-E35)+1)/DAY(F35))</f>
      </c>
      <c r="H35" s="80"/>
      <c r="I35" s="81">
        <f ca="1">IF($B34="","",IF($B34+1&gt;'Oneri mensili'!$C$4,"",I34-J34))</f>
      </c>
      <c r="J35" s="81">
        <f ca="1">IF($B34="","",IF($B34+1&gt;'Oneri mensili'!$C$4,"",IF(B34&lt;'Oneri mensili'!$C$11-1,0,IF('Oneri mensili'!$C$10=dropdowns!$B$186,'Oneri mensili'!$J$3,IF('Oneri mensili'!$C$10=dropdowns!$B$185,IFERROR('Oneri mensili'!$J$3-K35,0),0)))))</f>
      </c>
      <c r="K35" s="81">
        <f ca="1">IF($B34="","",IF($B34+1&gt;'Oneri mensili'!$C$4,"",G35*I35*'Oneri mensili'!$C$8))</f>
      </c>
      <c r="L35" s="81">
        <f t="shared" ca="1" si="2"/>
      </c>
      <c r="M35" s="81">
        <f t="shared" ca="1" si="0"/>
      </c>
      <c r="N35" s="80"/>
      <c r="O35" s="82">
        <f>IF($B35="","",'Oneri mensili'!$C$8)</f>
      </c>
      <c r="P35" s="82">
        <f>IF($B35="","",'Oneri mensili'!$C$8*(POWER(1+'Oneri mensili'!$C$8,$B35-1+1)))</f>
      </c>
      <c r="Q35" s="82">
        <f t="shared" ca="1" si="3"/>
      </c>
      <c r="R35" s="80"/>
      <c r="S35" s="81">
        <f t="shared" ca="1" si="1"/>
      </c>
      <c r="T35" s="81">
        <f ca="1">IF(S35="","",J35/(POWER(1+'Oneri mensili'!$C$8,$B35-1+1)))</f>
      </c>
      <c r="U35" s="83">
        <f t="shared" ca="1" si="4"/>
      </c>
      <c r="V35" s="81">
        <f ca="1">IF($B35="","",K35/(POWER(1+'Oneri mensili'!$C$8,$B35-1+1)))</f>
      </c>
      <c r="W35" s="80"/>
      <c r="X35" s="83"/>
      <c r="Y35" s="84"/>
    </row>
    <row r="36" spans="1:25" s="85" customFormat="1">
      <c r="A36" s="76"/>
      <c r="B36" s="77">
        <f>IF($B35="","",IF($B35+1&gt;'Oneri mensili'!$C$4,"",Schema!B35+1))</f>
      </c>
      <c r="C36" s="78">
        <f ca="1">IF($B35="","",IF($B35+1&gt;'Oneri mensili'!$C$4,"",EOMONTH(C35,0)+1))</f>
      </c>
      <c r="D36" s="76"/>
      <c r="E36" s="78">
        <f ca="1">IF($B35="","",IF($B35+1&gt;'Oneri mensili'!$C$4,"",F35+1))</f>
      </c>
      <c r="F36" s="78">
        <f ca="1">IF($B35="","",IF($B35+1&gt;'Oneri mensili'!$C$4,"",EOMONTH(E36,0)))</f>
      </c>
      <c r="G36" s="79">
        <f ca="1">IF($B35="","",IF($B35+1&gt;'Oneri mensili'!$C$4,"",(F36-E36)+1)/DAY(F36))</f>
      </c>
      <c r="H36" s="80"/>
      <c r="I36" s="81">
        <f ca="1">IF($B35="","",IF($B35+1&gt;'Oneri mensili'!$C$4,"",I35-J35))</f>
      </c>
      <c r="J36" s="81">
        <f ca="1">IF($B35="","",IF($B35+1&gt;'Oneri mensili'!$C$4,"",IF(B35&lt;'Oneri mensili'!$C$11-1,0,IF('Oneri mensili'!$C$10=dropdowns!$B$186,'Oneri mensili'!$J$3,IF('Oneri mensili'!$C$10=dropdowns!$B$185,IFERROR('Oneri mensili'!$J$3-K36,0),0)))))</f>
      </c>
      <c r="K36" s="81">
        <f ca="1">IF($B35="","",IF($B35+1&gt;'Oneri mensili'!$C$4,"",G36*I36*'Oneri mensili'!$C$8))</f>
      </c>
      <c r="L36" s="81">
        <f t="shared" ca="1" si="2"/>
      </c>
      <c r="M36" s="81">
        <f t="shared" ca="1" si="0"/>
      </c>
      <c r="N36" s="80"/>
      <c r="O36" s="82">
        <f>IF($B36="","",'Oneri mensili'!$C$8)</f>
      </c>
      <c r="P36" s="82">
        <f>IF($B36="","",'Oneri mensili'!$C$8*(POWER(1+'Oneri mensili'!$C$8,$B36-1+1)))</f>
      </c>
      <c r="Q36" s="82">
        <f t="shared" ca="1" si="3"/>
      </c>
      <c r="R36" s="80"/>
      <c r="S36" s="81">
        <f t="shared" ca="1" si="1"/>
      </c>
      <c r="T36" s="81">
        <f ca="1">IF(S36="","",J36/(POWER(1+'Oneri mensili'!$C$8,$B36-1+1)))</f>
      </c>
      <c r="U36" s="83">
        <f t="shared" ca="1" si="4"/>
      </c>
      <c r="V36" s="81">
        <f ca="1">IF($B36="","",K36/(POWER(1+'Oneri mensili'!$C$8,$B36-1+1)))</f>
      </c>
      <c r="W36" s="80"/>
      <c r="X36" s="83"/>
      <c r="Y36" s="84"/>
    </row>
    <row r="37" spans="1:25" s="85" customFormat="1">
      <c r="A37" s="76"/>
      <c r="B37" s="77">
        <f>IF($B36="","",IF($B36+1&gt;'Oneri mensili'!$C$4,"",Schema!B36+1))</f>
      </c>
      <c r="C37" s="78">
        <f ca="1">IF($B36="","",IF($B36+1&gt;'Oneri mensili'!$C$4,"",EOMONTH(C36,0)+1))</f>
      </c>
      <c r="D37" s="76"/>
      <c r="E37" s="78">
        <f ca="1">IF($B36="","",IF($B36+1&gt;'Oneri mensili'!$C$4,"",F36+1))</f>
      </c>
      <c r="F37" s="78">
        <f ca="1">IF($B36="","",IF($B36+1&gt;'Oneri mensili'!$C$4,"",EOMONTH(E37,0)))</f>
      </c>
      <c r="G37" s="79">
        <f ca="1">IF($B36="","",IF($B36+1&gt;'Oneri mensili'!$C$4,"",(F37-E37)+1)/DAY(F37))</f>
      </c>
      <c r="H37" s="80"/>
      <c r="I37" s="81">
        <f ca="1">IF($B36="","",IF($B36+1&gt;'Oneri mensili'!$C$4,"",I36-J36))</f>
      </c>
      <c r="J37" s="81">
        <f ca="1">IF($B36="","",IF($B36+1&gt;'Oneri mensili'!$C$4,"",IF(B36&lt;'Oneri mensili'!$C$11-1,0,IF('Oneri mensili'!$C$10=dropdowns!$B$186,'Oneri mensili'!$J$3,IF('Oneri mensili'!$C$10=dropdowns!$B$185,IFERROR('Oneri mensili'!$J$3-K37,0),0)))))</f>
      </c>
      <c r="K37" s="81">
        <f ca="1">IF($B36="","",IF($B36+1&gt;'Oneri mensili'!$C$4,"",G37*I37*'Oneri mensili'!$C$8))</f>
      </c>
      <c r="L37" s="81">
        <f t="shared" ca="1" si="2"/>
      </c>
      <c r="M37" s="81">
        <f t="shared" ca="1" si="0"/>
      </c>
      <c r="N37" s="80"/>
      <c r="O37" s="82">
        <f>IF($B37="","",'Oneri mensili'!$C$8)</f>
      </c>
      <c r="P37" s="82">
        <f>IF($B37="","",'Oneri mensili'!$C$8*(POWER(1+'Oneri mensili'!$C$8,$B37-1+1)))</f>
      </c>
      <c r="Q37" s="82">
        <f t="shared" ca="1" si="3"/>
      </c>
      <c r="R37" s="80"/>
      <c r="S37" s="81">
        <f t="shared" ca="1" si="1"/>
      </c>
      <c r="T37" s="81">
        <f ca="1">IF(S37="","",J37/(POWER(1+'Oneri mensili'!$C$8,$B37-1+1)))</f>
      </c>
      <c r="U37" s="83">
        <f t="shared" ca="1" si="4"/>
      </c>
      <c r="V37" s="81">
        <f ca="1">IF($B37="","",K37/(POWER(1+'Oneri mensili'!$C$8,$B37-1+1)))</f>
      </c>
      <c r="W37" s="80"/>
      <c r="X37" s="83"/>
      <c r="Y37" s="84"/>
    </row>
    <row r="38" spans="1:25" s="85" customFormat="1">
      <c r="A38" s="76"/>
      <c r="B38" s="77">
        <f>IF($B37="","",IF($B37+1&gt;'Oneri mensili'!$C$4,"",Schema!B37+1))</f>
      </c>
      <c r="C38" s="78">
        <f ca="1">IF($B37="","",IF($B37+1&gt;'Oneri mensili'!$C$4,"",EOMONTH(C37,0)+1))</f>
      </c>
      <c r="D38" s="76"/>
      <c r="E38" s="78">
        <f ca="1">IF($B37="","",IF($B37+1&gt;'Oneri mensili'!$C$4,"",F37+1))</f>
      </c>
      <c r="F38" s="78">
        <f ca="1">IF($B37="","",IF($B37+1&gt;'Oneri mensili'!$C$4,"",EOMONTH(E38,0)))</f>
      </c>
      <c r="G38" s="79">
        <f ca="1">IF($B37="","",IF($B37+1&gt;'Oneri mensili'!$C$4,"",(F38-E38)+1)/DAY(F38))</f>
      </c>
      <c r="H38" s="80"/>
      <c r="I38" s="81">
        <f ca="1">IF($B37="","",IF($B37+1&gt;'Oneri mensili'!$C$4,"",I37-J37))</f>
      </c>
      <c r="J38" s="81">
        <f ca="1">IF($B37="","",IF($B37+1&gt;'Oneri mensili'!$C$4,"",IF(B37&lt;'Oneri mensili'!$C$11-1,0,IF('Oneri mensili'!$C$10=dropdowns!$B$186,'Oneri mensili'!$J$3,IF('Oneri mensili'!$C$10=dropdowns!$B$185,IFERROR('Oneri mensili'!$J$3-K38,0),0)))))</f>
      </c>
      <c r="K38" s="81">
        <f ca="1">IF($B37="","",IF($B37+1&gt;'Oneri mensili'!$C$4,"",G38*I38*'Oneri mensili'!$C$8))</f>
      </c>
      <c r="L38" s="81">
        <f t="shared" ca="1" si="2"/>
      </c>
      <c r="M38" s="81">
        <f t="shared" ca="1" si="0"/>
      </c>
      <c r="N38" s="80"/>
      <c r="O38" s="82">
        <f>IF($B38="","",'Oneri mensili'!$C$8)</f>
      </c>
      <c r="P38" s="82">
        <f>IF($B38="","",'Oneri mensili'!$C$8*(POWER(1+'Oneri mensili'!$C$8,$B38-1+1)))</f>
      </c>
      <c r="Q38" s="82">
        <f t="shared" ca="1" si="3"/>
      </c>
      <c r="R38" s="80"/>
      <c r="S38" s="81">
        <f t="shared" ca="1" si="1"/>
      </c>
      <c r="T38" s="81">
        <f ca="1">IF(S38="","",J38/(POWER(1+'Oneri mensili'!$C$8,$B38-1+1)))</f>
      </c>
      <c r="U38" s="83">
        <f t="shared" ca="1" si="4"/>
      </c>
      <c r="V38" s="81">
        <f ca="1">IF($B38="","",K38/(POWER(1+'Oneri mensili'!$C$8,$B38-1+1)))</f>
      </c>
      <c r="W38" s="80"/>
      <c r="X38" s="83"/>
      <c r="Y38" s="84"/>
    </row>
    <row r="39" spans="1:25" s="85" customFormat="1">
      <c r="A39" s="76"/>
      <c r="B39" s="77">
        <f>IF($B38="","",IF($B38+1&gt;'Oneri mensili'!$C$4,"",Schema!B38+1))</f>
      </c>
      <c r="C39" s="78">
        <f ca="1">IF($B38="","",IF($B38+1&gt;'Oneri mensili'!$C$4,"",EOMONTH(C38,0)+1))</f>
      </c>
      <c r="D39" s="76"/>
      <c r="E39" s="78">
        <f ca="1">IF($B38="","",IF($B38+1&gt;'Oneri mensili'!$C$4,"",F38+1))</f>
      </c>
      <c r="F39" s="78">
        <f ca="1">IF($B38="","",IF($B38+1&gt;'Oneri mensili'!$C$4,"",EOMONTH(E39,0)))</f>
      </c>
      <c r="G39" s="79">
        <f ca="1">IF($B38="","",IF($B38+1&gt;'Oneri mensili'!$C$4,"",(F39-E39)+1)/DAY(F39))</f>
      </c>
      <c r="H39" s="80"/>
      <c r="I39" s="81">
        <f ca="1">IF($B38="","",IF($B38+1&gt;'Oneri mensili'!$C$4,"",I38-J38))</f>
      </c>
      <c r="J39" s="81">
        <f ca="1">IF($B38="","",IF($B38+1&gt;'Oneri mensili'!$C$4,"",IF(B38&lt;'Oneri mensili'!$C$11-1,0,IF('Oneri mensili'!$C$10=dropdowns!$B$186,'Oneri mensili'!$J$3,IF('Oneri mensili'!$C$10=dropdowns!$B$185,IFERROR('Oneri mensili'!$J$3-K39,0),0)))))</f>
      </c>
      <c r="K39" s="81">
        <f ca="1">IF($B38="","",IF($B38+1&gt;'Oneri mensili'!$C$4,"",G39*I39*'Oneri mensili'!$C$8))</f>
      </c>
      <c r="L39" s="81">
        <f t="shared" ca="1" si="2"/>
      </c>
      <c r="M39" s="81">
        <f t="shared" ca="1" si="0"/>
      </c>
      <c r="N39" s="80"/>
      <c r="O39" s="82">
        <f>IF($B39="","",'Oneri mensili'!$C$8)</f>
      </c>
      <c r="P39" s="82">
        <f>IF($B39="","",'Oneri mensili'!$C$8*(POWER(1+'Oneri mensili'!$C$8,$B39-1+1)))</f>
      </c>
      <c r="Q39" s="82">
        <f t="shared" ca="1" si="3"/>
      </c>
      <c r="R39" s="80"/>
      <c r="S39" s="81">
        <f t="shared" ca="1" si="1"/>
      </c>
      <c r="T39" s="81">
        <f ca="1">IF(S39="","",J39/(POWER(1+'Oneri mensili'!$C$8,$B39-1+1)))</f>
      </c>
      <c r="U39" s="83">
        <f t="shared" ca="1" si="4"/>
      </c>
      <c r="V39" s="81">
        <f ca="1">IF($B39="","",K39/(POWER(1+'Oneri mensili'!$C$8,$B39-1+1)))</f>
      </c>
      <c r="W39" s="80"/>
      <c r="X39" s="83"/>
      <c r="Y39" s="84"/>
    </row>
    <row r="40" spans="1:25" s="85" customFormat="1">
      <c r="A40" s="76"/>
      <c r="B40" s="77">
        <f>IF($B39="","",IF($B39+1&gt;'Oneri mensili'!$C$4,"",Schema!B39+1))</f>
      </c>
      <c r="C40" s="78">
        <f ca="1">IF($B39="","",IF($B39+1&gt;'Oneri mensili'!$C$4,"",EOMONTH(C39,0)+1))</f>
      </c>
      <c r="D40" s="76"/>
      <c r="E40" s="78">
        <f ca="1">IF($B39="","",IF($B39+1&gt;'Oneri mensili'!$C$4,"",F39+1))</f>
      </c>
      <c r="F40" s="78">
        <f ca="1">IF($B39="","",IF($B39+1&gt;'Oneri mensili'!$C$4,"",EOMONTH(E40,0)))</f>
      </c>
      <c r="G40" s="79">
        <f ca="1">IF($B39="","",IF($B39+1&gt;'Oneri mensili'!$C$4,"",(F40-E40)+1)/DAY(F40))</f>
      </c>
      <c r="H40" s="80"/>
      <c r="I40" s="81">
        <f ca="1">IF($B39="","",IF($B39+1&gt;'Oneri mensili'!$C$4,"",I39-J39))</f>
      </c>
      <c r="J40" s="81">
        <f ca="1">IF($B39="","",IF($B39+1&gt;'Oneri mensili'!$C$4,"",IF(B39&lt;'Oneri mensili'!$C$11-1,0,IF('Oneri mensili'!$C$10=dropdowns!$B$186,'Oneri mensili'!$J$3,IF('Oneri mensili'!$C$10=dropdowns!$B$185,IFERROR('Oneri mensili'!$J$3-K40,0),0)))))</f>
      </c>
      <c r="K40" s="81">
        <f ca="1">IF($B39="","",IF($B39+1&gt;'Oneri mensili'!$C$4,"",G40*I40*'Oneri mensili'!$C$8))</f>
      </c>
      <c r="L40" s="81">
        <f t="shared" ca="1" si="2"/>
      </c>
      <c r="M40" s="81">
        <f t="shared" ca="1" si="0"/>
      </c>
      <c r="N40" s="80"/>
      <c r="O40" s="82">
        <f>IF($B40="","",'Oneri mensili'!$C$8)</f>
      </c>
      <c r="P40" s="82">
        <f>IF($B40="","",'Oneri mensili'!$C$8*(POWER(1+'Oneri mensili'!$C$8,$B40-1+1)))</f>
      </c>
      <c r="Q40" s="82">
        <f t="shared" ca="1" si="3"/>
      </c>
      <c r="R40" s="80"/>
      <c r="S40" s="81">
        <f t="shared" ca="1" si="1"/>
      </c>
      <c r="T40" s="81">
        <f ca="1">IF(S40="","",J40/(POWER(1+'Oneri mensili'!$C$8,$B40-1+1)))</f>
      </c>
      <c r="U40" s="83">
        <f t="shared" ca="1" si="4"/>
      </c>
      <c r="V40" s="81">
        <f ca="1">IF($B40="","",K40/(POWER(1+'Oneri mensili'!$C$8,$B40-1+1)))</f>
      </c>
      <c r="W40" s="80"/>
      <c r="X40" s="83"/>
      <c r="Y40" s="84"/>
    </row>
    <row r="41" spans="1:25" s="85" customFormat="1">
      <c r="A41" s="76"/>
      <c r="B41" s="77">
        <f>IF($B40="","",IF($B40+1&gt;'Oneri mensili'!$C$4,"",Schema!B40+1))</f>
      </c>
      <c r="C41" s="78">
        <f ca="1">IF($B40="","",IF($B40+1&gt;'Oneri mensili'!$C$4,"",EOMONTH(C40,0)+1))</f>
      </c>
      <c r="D41" s="76"/>
      <c r="E41" s="78">
        <f ca="1">IF($B40="","",IF($B40+1&gt;'Oneri mensili'!$C$4,"",F40+1))</f>
      </c>
      <c r="F41" s="78">
        <f ca="1">IF($B40="","",IF($B40+1&gt;'Oneri mensili'!$C$4,"",EOMONTH(E41,0)))</f>
      </c>
      <c r="G41" s="79">
        <f ca="1">IF($B40="","",IF($B40+1&gt;'Oneri mensili'!$C$4,"",(F41-E41)+1)/DAY(F41))</f>
      </c>
      <c r="H41" s="80"/>
      <c r="I41" s="81">
        <f ca="1">IF($B40="","",IF($B40+1&gt;'Oneri mensili'!$C$4,"",I40-J40))</f>
      </c>
      <c r="J41" s="81">
        <f ca="1">IF($B40="","",IF($B40+1&gt;'Oneri mensili'!$C$4,"",IF(B40&lt;'Oneri mensili'!$C$11-1,0,IF('Oneri mensili'!$C$10=dropdowns!$B$186,'Oneri mensili'!$J$3,IF('Oneri mensili'!$C$10=dropdowns!$B$185,IFERROR('Oneri mensili'!$J$3-K41,0),0)))))</f>
      </c>
      <c r="K41" s="81">
        <f ca="1">IF($B40="","",IF($B40+1&gt;'Oneri mensili'!$C$4,"",G41*I41*'Oneri mensili'!$C$8))</f>
      </c>
      <c r="L41" s="81">
        <f t="shared" ca="1" si="2"/>
      </c>
      <c r="M41" s="81">
        <f t="shared" ca="1" si="0"/>
      </c>
      <c r="N41" s="80"/>
      <c r="O41" s="82">
        <f>IF($B41="","",'Oneri mensili'!$C$8)</f>
      </c>
      <c r="P41" s="82">
        <f>IF($B41="","",'Oneri mensili'!$C$8*(POWER(1+'Oneri mensili'!$C$8,$B41-1+1)))</f>
      </c>
      <c r="Q41" s="82">
        <f t="shared" ca="1" si="3"/>
      </c>
      <c r="R41" s="80"/>
      <c r="S41" s="81">
        <f t="shared" ca="1" si="1"/>
      </c>
      <c r="T41" s="81">
        <f ca="1">IF(S41="","",J41/(POWER(1+'Oneri mensili'!$C$8,$B41-1+1)))</f>
      </c>
      <c r="U41" s="83">
        <f t="shared" ca="1" si="4"/>
      </c>
      <c r="V41" s="81">
        <f ca="1">IF($B41="","",K41/(POWER(1+'Oneri mensili'!$C$8,$B41-1+1)))</f>
      </c>
      <c r="W41" s="80"/>
      <c r="X41" s="83"/>
      <c r="Y41" s="84"/>
    </row>
    <row r="42" spans="1:25" s="85" customFormat="1">
      <c r="A42" s="76"/>
      <c r="B42" s="77">
        <f>IF($B41="","",IF($B41+1&gt;'Oneri mensili'!$C$4,"",Schema!B41+1))</f>
      </c>
      <c r="C42" s="78">
        <f ca="1">IF($B41="","",IF($B41+1&gt;'Oneri mensili'!$C$4,"",EOMONTH(C41,0)+1))</f>
      </c>
      <c r="D42" s="76"/>
      <c r="E42" s="78">
        <f ca="1">IF($B41="","",IF($B41+1&gt;'Oneri mensili'!$C$4,"",F41+1))</f>
      </c>
      <c r="F42" s="78">
        <f ca="1">IF($B41="","",IF($B41+1&gt;'Oneri mensili'!$C$4,"",EOMONTH(E42,0)))</f>
      </c>
      <c r="G42" s="79">
        <f ca="1">IF($B41="","",IF($B41+1&gt;'Oneri mensili'!$C$4,"",(F42-E42)+1)/DAY(F42))</f>
      </c>
      <c r="H42" s="80"/>
      <c r="I42" s="81">
        <f ca="1">IF($B41="","",IF($B41+1&gt;'Oneri mensili'!$C$4,"",I41-J41))</f>
      </c>
      <c r="J42" s="81">
        <f ca="1">IF($B41="","",IF($B41+1&gt;'Oneri mensili'!$C$4,"",IF(B41&lt;'Oneri mensili'!$C$11-1,0,IF('Oneri mensili'!$C$10=dropdowns!$B$186,'Oneri mensili'!$J$3,IF('Oneri mensili'!$C$10=dropdowns!$B$185,IFERROR('Oneri mensili'!$J$3-K42,0),0)))))</f>
      </c>
      <c r="K42" s="81">
        <f ca="1">IF($B41="","",IF($B41+1&gt;'Oneri mensili'!$C$4,"",G42*I42*'Oneri mensili'!$C$8))</f>
      </c>
      <c r="L42" s="81">
        <f t="shared" ca="1" si="2"/>
      </c>
      <c r="M42" s="81">
        <f t="shared" ca="1" si="0"/>
      </c>
      <c r="N42" s="80"/>
      <c r="O42" s="82">
        <f>IF($B42="","",'Oneri mensili'!$C$8)</f>
      </c>
      <c r="P42" s="82">
        <f>IF($B42="","",'Oneri mensili'!$C$8*(POWER(1+'Oneri mensili'!$C$8,$B42-1+1)))</f>
      </c>
      <c r="Q42" s="82">
        <f t="shared" ca="1" si="3"/>
      </c>
      <c r="R42" s="80"/>
      <c r="S42" s="81">
        <f t="shared" ca="1" si="1"/>
      </c>
      <c r="T42" s="81">
        <f ca="1">IF(S42="","",J42/(POWER(1+'Oneri mensili'!$C$8,$B42-1+1)))</f>
      </c>
      <c r="U42" s="83">
        <f t="shared" ca="1" si="4"/>
      </c>
      <c r="V42" s="81">
        <f ca="1">IF($B42="","",K42/(POWER(1+'Oneri mensili'!$C$8,$B42-1+1)))</f>
      </c>
      <c r="W42" s="80"/>
      <c r="X42" s="83"/>
      <c r="Y42" s="84"/>
    </row>
    <row r="43" spans="1:25" s="85" customFormat="1">
      <c r="A43" s="76"/>
      <c r="B43" s="77">
        <f>IF($B42="","",IF($B42+1&gt;'Oneri mensili'!$C$4,"",Schema!B42+1))</f>
      </c>
      <c r="C43" s="78">
        <f ca="1">IF($B42="","",IF($B42+1&gt;'Oneri mensili'!$C$4,"",EOMONTH(C42,0)+1))</f>
      </c>
      <c r="D43" s="76"/>
      <c r="E43" s="78">
        <f ca="1">IF($B42="","",IF($B42+1&gt;'Oneri mensili'!$C$4,"",F42+1))</f>
      </c>
      <c r="F43" s="78">
        <f ca="1">IF($B42="","",IF($B42+1&gt;'Oneri mensili'!$C$4,"",EOMONTH(E43,0)))</f>
      </c>
      <c r="G43" s="79">
        <f ca="1">IF($B42="","",IF($B42+1&gt;'Oneri mensili'!$C$4,"",(F43-E43)+1)/DAY(F43))</f>
      </c>
      <c r="H43" s="80"/>
      <c r="I43" s="81">
        <f ca="1">IF($B42="","",IF($B42+1&gt;'Oneri mensili'!$C$4,"",I42-J42))</f>
      </c>
      <c r="J43" s="81">
        <f ca="1">IF($B42="","",IF($B42+1&gt;'Oneri mensili'!$C$4,"",IF(B42&lt;'Oneri mensili'!$C$11-1,0,IF('Oneri mensili'!$C$10=dropdowns!$B$186,'Oneri mensili'!$J$3,IF('Oneri mensili'!$C$10=dropdowns!$B$185,IFERROR('Oneri mensili'!$J$3-K43,0),0)))))</f>
      </c>
      <c r="K43" s="81">
        <f ca="1">IF($B42="","",IF($B42+1&gt;'Oneri mensili'!$C$4,"",G43*I43*'Oneri mensili'!$C$8))</f>
      </c>
      <c r="L43" s="81">
        <f t="shared" ca="1" si="2"/>
      </c>
      <c r="M43" s="81">
        <f t="shared" ca="1" si="0"/>
      </c>
      <c r="N43" s="80"/>
      <c r="O43" s="82">
        <f>IF($B43="","",'Oneri mensili'!$C$8)</f>
      </c>
      <c r="P43" s="82">
        <f>IF($B43="","",'Oneri mensili'!$C$8*(POWER(1+'Oneri mensili'!$C$8,$B43-1+1)))</f>
      </c>
      <c r="Q43" s="82">
        <f t="shared" ca="1" si="3"/>
      </c>
      <c r="R43" s="80"/>
      <c r="S43" s="81">
        <f t="shared" ca="1" si="1"/>
      </c>
      <c r="T43" s="81">
        <f ca="1">IF(S43="","",J43/(POWER(1+'Oneri mensili'!$C$8,$B43-1+1)))</f>
      </c>
      <c r="U43" s="83">
        <f t="shared" ca="1" si="4"/>
      </c>
      <c r="V43" s="81">
        <f ca="1">IF($B43="","",K43/(POWER(1+'Oneri mensili'!$C$8,$B43-1+1)))</f>
      </c>
      <c r="W43" s="80"/>
      <c r="X43" s="83"/>
      <c r="Y43" s="84"/>
    </row>
    <row r="44" spans="1:25" s="85" customFormat="1">
      <c r="A44" s="76"/>
      <c r="B44" s="77">
        <f>IF($B43="","",IF($B43+1&gt;'Oneri mensili'!$C$4,"",Schema!B43+1))</f>
      </c>
      <c r="C44" s="78">
        <f ca="1">IF($B43="","",IF($B43+1&gt;'Oneri mensili'!$C$4,"",EOMONTH(C43,0)+1))</f>
      </c>
      <c r="D44" s="76"/>
      <c r="E44" s="78">
        <f ca="1">IF($B43="","",IF($B43+1&gt;'Oneri mensili'!$C$4,"",F43+1))</f>
      </c>
      <c r="F44" s="78">
        <f ca="1">IF($B43="","",IF($B43+1&gt;'Oneri mensili'!$C$4,"",EOMONTH(E44,0)))</f>
      </c>
      <c r="G44" s="79">
        <f ca="1">IF($B43="","",IF($B43+1&gt;'Oneri mensili'!$C$4,"",(F44-E44)+1)/DAY(F44))</f>
      </c>
      <c r="H44" s="80"/>
      <c r="I44" s="81">
        <f ca="1">IF($B43="","",IF($B43+1&gt;'Oneri mensili'!$C$4,"",I43-J43))</f>
      </c>
      <c r="J44" s="81">
        <f ca="1">IF($B43="","",IF($B43+1&gt;'Oneri mensili'!$C$4,"",IF(B43&lt;'Oneri mensili'!$C$11-1,0,IF('Oneri mensili'!$C$10=dropdowns!$B$186,'Oneri mensili'!$J$3,IF('Oneri mensili'!$C$10=dropdowns!$B$185,IFERROR('Oneri mensili'!$J$3-K44,0),0)))))</f>
      </c>
      <c r="K44" s="81">
        <f ca="1">IF($B43="","",IF($B43+1&gt;'Oneri mensili'!$C$4,"",G44*I44*'Oneri mensili'!$C$8))</f>
      </c>
      <c r="L44" s="81">
        <f t="shared" ca="1" si="2"/>
      </c>
      <c r="M44" s="81">
        <f t="shared" ca="1" si="0"/>
      </c>
      <c r="N44" s="80"/>
      <c r="O44" s="82">
        <f>IF($B44="","",'Oneri mensili'!$C$8)</f>
      </c>
      <c r="P44" s="82">
        <f>IF($B44="","",'Oneri mensili'!$C$8*(POWER(1+'Oneri mensili'!$C$8,$B44-1+1)))</f>
      </c>
      <c r="Q44" s="82">
        <f t="shared" ca="1" si="3"/>
      </c>
      <c r="R44" s="80"/>
      <c r="S44" s="81">
        <f t="shared" ca="1" si="1"/>
      </c>
      <c r="T44" s="81">
        <f ca="1">IF(S44="","",J44/(POWER(1+'Oneri mensili'!$C$8,$B44-1+1)))</f>
      </c>
      <c r="U44" s="83">
        <f t="shared" ca="1" si="4"/>
      </c>
      <c r="V44" s="81">
        <f ca="1">IF($B44="","",K44/(POWER(1+'Oneri mensili'!$C$8,$B44-1+1)))</f>
      </c>
      <c r="W44" s="80"/>
      <c r="X44" s="83"/>
      <c r="Y44" s="84"/>
    </row>
    <row r="45" spans="1:25" s="85" customFormat="1">
      <c r="A45" s="76"/>
      <c r="B45" s="77">
        <f>IF($B44="","",IF($B44+1&gt;'Oneri mensili'!$C$4,"",Schema!B44+1))</f>
      </c>
      <c r="C45" s="78">
        <f ca="1">IF($B44="","",IF($B44+1&gt;'Oneri mensili'!$C$4,"",EOMONTH(C44,0)+1))</f>
      </c>
      <c r="D45" s="76"/>
      <c r="E45" s="78">
        <f ca="1">IF($B44="","",IF($B44+1&gt;'Oneri mensili'!$C$4,"",F44+1))</f>
      </c>
      <c r="F45" s="78">
        <f ca="1">IF($B44="","",IF($B44+1&gt;'Oneri mensili'!$C$4,"",EOMONTH(E45,0)))</f>
      </c>
      <c r="G45" s="79">
        <f ca="1">IF($B44="","",IF($B44+1&gt;'Oneri mensili'!$C$4,"",(F45-E45)+1)/DAY(F45))</f>
      </c>
      <c r="H45" s="80"/>
      <c r="I45" s="81">
        <f ca="1">IF($B44="","",IF($B44+1&gt;'Oneri mensili'!$C$4,"",I44-J44))</f>
      </c>
      <c r="J45" s="81">
        <f ca="1">IF($B44="","",IF($B44+1&gt;'Oneri mensili'!$C$4,"",IF(B44&lt;'Oneri mensili'!$C$11-1,0,IF('Oneri mensili'!$C$10=dropdowns!$B$186,'Oneri mensili'!$J$3,IF('Oneri mensili'!$C$10=dropdowns!$B$185,IFERROR('Oneri mensili'!$J$3-K45,0),0)))))</f>
      </c>
      <c r="K45" s="81">
        <f ca="1">IF($B44="","",IF($B44+1&gt;'Oneri mensili'!$C$4,"",G45*I45*'Oneri mensili'!$C$8))</f>
      </c>
      <c r="L45" s="81">
        <f t="shared" ca="1" si="2"/>
      </c>
      <c r="M45" s="81">
        <f t="shared" ca="1" si="0"/>
      </c>
      <c r="N45" s="80"/>
      <c r="O45" s="82">
        <f>IF($B45="","",'Oneri mensili'!$C$8)</f>
      </c>
      <c r="P45" s="82">
        <f>IF($B45="","",'Oneri mensili'!$C$8*(POWER(1+'Oneri mensili'!$C$8,$B45-1+1)))</f>
      </c>
      <c r="Q45" s="82">
        <f t="shared" ca="1" si="3"/>
      </c>
      <c r="R45" s="80"/>
      <c r="S45" s="81">
        <f t="shared" ca="1" si="1"/>
      </c>
      <c r="T45" s="81">
        <f ca="1">IF(S45="","",J45/(POWER(1+'Oneri mensili'!$C$8,$B45-1+1)))</f>
      </c>
      <c r="U45" s="83">
        <f t="shared" ca="1" si="4"/>
      </c>
      <c r="V45" s="81">
        <f ca="1">IF($B45="","",K45/(POWER(1+'Oneri mensili'!$C$8,$B45-1+1)))</f>
      </c>
      <c r="W45" s="80"/>
      <c r="X45" s="83"/>
      <c r="Y45" s="84"/>
    </row>
    <row r="46" spans="1:25" s="85" customFormat="1">
      <c r="A46" s="76"/>
      <c r="B46" s="77">
        <f>IF($B45="","",IF($B45+1&gt;'Oneri mensili'!$C$4,"",Schema!B45+1))</f>
      </c>
      <c r="C46" s="78">
        <f ca="1">IF($B45="","",IF($B45+1&gt;'Oneri mensili'!$C$4,"",EOMONTH(C45,0)+1))</f>
      </c>
      <c r="D46" s="76"/>
      <c r="E46" s="78">
        <f ca="1">IF($B45="","",IF($B45+1&gt;'Oneri mensili'!$C$4,"",F45+1))</f>
      </c>
      <c r="F46" s="78">
        <f ca="1">IF($B45="","",IF($B45+1&gt;'Oneri mensili'!$C$4,"",EOMONTH(E46,0)))</f>
      </c>
      <c r="G46" s="79">
        <f ca="1">IF($B45="","",IF($B45+1&gt;'Oneri mensili'!$C$4,"",(F46-E46)+1)/DAY(F46))</f>
      </c>
      <c r="H46" s="80"/>
      <c r="I46" s="81">
        <f ca="1">IF($B45="","",IF($B45+1&gt;'Oneri mensili'!$C$4,"",I45-J45))</f>
      </c>
      <c r="J46" s="81">
        <f ca="1">IF($B45="","",IF($B45+1&gt;'Oneri mensili'!$C$4,"",IF(B45&lt;'Oneri mensili'!$C$11-1,0,IF('Oneri mensili'!$C$10=dropdowns!$B$186,'Oneri mensili'!$J$3,IF('Oneri mensili'!$C$10=dropdowns!$B$185,IFERROR('Oneri mensili'!$J$3-K46,0),0)))))</f>
      </c>
      <c r="K46" s="81">
        <f ca="1">IF($B45="","",IF($B45+1&gt;'Oneri mensili'!$C$4,"",G46*I46*'Oneri mensili'!$C$8))</f>
      </c>
      <c r="L46" s="81">
        <f t="shared" ca="1" si="2"/>
      </c>
      <c r="M46" s="81">
        <f t="shared" ca="1" si="0"/>
      </c>
      <c r="N46" s="80"/>
      <c r="O46" s="82">
        <f>IF($B46="","",'Oneri mensili'!$C$8)</f>
      </c>
      <c r="P46" s="82">
        <f>IF($B46="","",'Oneri mensili'!$C$8*(POWER(1+'Oneri mensili'!$C$8,$B46-1+1)))</f>
      </c>
      <c r="Q46" s="82">
        <f t="shared" ca="1" si="3"/>
      </c>
      <c r="R46" s="80"/>
      <c r="S46" s="81">
        <f t="shared" ca="1" si="1"/>
      </c>
      <c r="T46" s="81">
        <f ca="1">IF(S46="","",J46/(POWER(1+'Oneri mensili'!$C$8,$B46-1+1)))</f>
      </c>
      <c r="U46" s="83">
        <f t="shared" ca="1" si="4"/>
      </c>
      <c r="V46" s="81">
        <f ca="1">IF($B46="","",K46/(POWER(1+'Oneri mensili'!$C$8,$B46-1+1)))</f>
      </c>
      <c r="W46" s="80"/>
      <c r="X46" s="83"/>
      <c r="Y46" s="84"/>
    </row>
    <row r="47" spans="1:25" s="85" customFormat="1">
      <c r="A47" s="76"/>
      <c r="B47" s="77">
        <f>IF($B46="","",IF($B46+1&gt;'Oneri mensili'!$C$4,"",Schema!B46+1))</f>
      </c>
      <c r="C47" s="78">
        <f ca="1">IF($B46="","",IF($B46+1&gt;'Oneri mensili'!$C$4,"",EOMONTH(C46,0)+1))</f>
      </c>
      <c r="D47" s="76"/>
      <c r="E47" s="78">
        <f ca="1">IF($B46="","",IF($B46+1&gt;'Oneri mensili'!$C$4,"",F46+1))</f>
      </c>
      <c r="F47" s="78">
        <f ca="1">IF($B46="","",IF($B46+1&gt;'Oneri mensili'!$C$4,"",EOMONTH(E47,0)))</f>
      </c>
      <c r="G47" s="79">
        <f ca="1">IF($B46="","",IF($B46+1&gt;'Oneri mensili'!$C$4,"",(F47-E47)+1)/DAY(F47))</f>
      </c>
      <c r="H47" s="80"/>
      <c r="I47" s="81">
        <f ca="1">IF($B46="","",IF($B46+1&gt;'Oneri mensili'!$C$4,"",I46-J46))</f>
      </c>
      <c r="J47" s="81">
        <f ca="1">IF($B46="","",IF($B46+1&gt;'Oneri mensili'!$C$4,"",IF(B46&lt;'Oneri mensili'!$C$11-1,0,IF('Oneri mensili'!$C$10=dropdowns!$B$186,'Oneri mensili'!$J$3,IF('Oneri mensili'!$C$10=dropdowns!$B$185,IFERROR('Oneri mensili'!$J$3-K47,0),0)))))</f>
      </c>
      <c r="K47" s="81">
        <f ca="1">IF($B46="","",IF($B46+1&gt;'Oneri mensili'!$C$4,"",G47*I47*'Oneri mensili'!$C$8))</f>
      </c>
      <c r="L47" s="81">
        <f t="shared" ca="1" si="2"/>
      </c>
      <c r="M47" s="81">
        <f t="shared" ca="1" si="0"/>
      </c>
      <c r="N47" s="80"/>
      <c r="O47" s="82">
        <f>IF($B47="","",'Oneri mensili'!$C$8)</f>
      </c>
      <c r="P47" s="82">
        <f>IF($B47="","",'Oneri mensili'!$C$8*(POWER(1+'Oneri mensili'!$C$8,$B47-1+1)))</f>
      </c>
      <c r="Q47" s="82">
        <f t="shared" ca="1" si="3"/>
      </c>
      <c r="R47" s="80"/>
      <c r="S47" s="81">
        <f t="shared" ca="1" si="1"/>
      </c>
      <c r="T47" s="81">
        <f ca="1">IF(S47="","",J47/(POWER(1+'Oneri mensili'!$C$8,$B47-1+1)))</f>
      </c>
      <c r="U47" s="83">
        <f t="shared" ca="1" si="4"/>
      </c>
      <c r="V47" s="81">
        <f ca="1">IF($B47="","",K47/(POWER(1+'Oneri mensili'!$C$8,$B47-1+1)))</f>
      </c>
      <c r="W47" s="80"/>
      <c r="X47" s="83"/>
      <c r="Y47" s="84"/>
    </row>
    <row r="48" spans="1:25" s="85" customFormat="1">
      <c r="A48" s="76"/>
      <c r="B48" s="77">
        <f>IF($B47="","",IF($B47+1&gt;'Oneri mensili'!$C$4,"",Schema!B47+1))</f>
      </c>
      <c r="C48" s="78">
        <f ca="1">IF($B47="","",IF($B47+1&gt;'Oneri mensili'!$C$4,"",EOMONTH(C47,0)+1))</f>
      </c>
      <c r="D48" s="76"/>
      <c r="E48" s="78">
        <f ca="1">IF($B47="","",IF($B47+1&gt;'Oneri mensili'!$C$4,"",F47+1))</f>
      </c>
      <c r="F48" s="78">
        <f ca="1">IF($B47="","",IF($B47+1&gt;'Oneri mensili'!$C$4,"",EOMONTH(E48,0)))</f>
      </c>
      <c r="G48" s="79">
        <f ca="1">IF($B47="","",IF($B47+1&gt;'Oneri mensili'!$C$4,"",(F48-E48)+1)/DAY(F48))</f>
      </c>
      <c r="H48" s="80"/>
      <c r="I48" s="81">
        <f ca="1">IF($B47="","",IF($B47+1&gt;'Oneri mensili'!$C$4,"",I47-J47))</f>
      </c>
      <c r="J48" s="81">
        <f ca="1">IF($B47="","",IF($B47+1&gt;'Oneri mensili'!$C$4,"",IF(B47&lt;'Oneri mensili'!$C$11-1,0,IF('Oneri mensili'!$C$10=dropdowns!$B$186,'Oneri mensili'!$J$3,IF('Oneri mensili'!$C$10=dropdowns!$B$185,IFERROR('Oneri mensili'!$J$3-K48,0),0)))))</f>
      </c>
      <c r="K48" s="81">
        <f ca="1">IF($B47="","",IF($B47+1&gt;'Oneri mensili'!$C$4,"",G48*I48*'Oneri mensili'!$C$8))</f>
      </c>
      <c r="L48" s="81">
        <f t="shared" ca="1" si="2"/>
      </c>
      <c r="M48" s="81">
        <f t="shared" ca="1" si="0"/>
      </c>
      <c r="N48" s="80"/>
      <c r="O48" s="82">
        <f>IF($B48="","",'Oneri mensili'!$C$8)</f>
      </c>
      <c r="P48" s="82">
        <f>IF($B48="","",'Oneri mensili'!$C$8*(POWER(1+'Oneri mensili'!$C$8,$B48-1+1)))</f>
      </c>
      <c r="Q48" s="82">
        <f t="shared" ca="1" si="3"/>
      </c>
      <c r="R48" s="80"/>
      <c r="S48" s="81">
        <f t="shared" ca="1" si="1"/>
      </c>
      <c r="T48" s="81">
        <f ca="1">IF(S48="","",J48/(POWER(1+'Oneri mensili'!$C$8,$B48-1+1)))</f>
      </c>
      <c r="U48" s="83">
        <f t="shared" ca="1" si="4"/>
      </c>
      <c r="V48" s="81">
        <f ca="1">IF($B48="","",K48/(POWER(1+'Oneri mensili'!$C$8,$B48-1+1)))</f>
      </c>
      <c r="W48" s="80"/>
      <c r="X48" s="83"/>
      <c r="Y48" s="84"/>
    </row>
    <row r="49" spans="1:25" s="85" customFormat="1">
      <c r="A49" s="76"/>
      <c r="B49" s="77">
        <f>IF($B48="","",IF($B48+1&gt;'Oneri mensili'!$C$4,"",Schema!B48+1))</f>
      </c>
      <c r="C49" s="78">
        <f ca="1">IF($B48="","",IF($B48+1&gt;'Oneri mensili'!$C$4,"",EOMONTH(C48,0)+1))</f>
      </c>
      <c r="D49" s="76"/>
      <c r="E49" s="78">
        <f ca="1">IF($B48="","",IF($B48+1&gt;'Oneri mensili'!$C$4,"",F48+1))</f>
      </c>
      <c r="F49" s="78">
        <f ca="1">IF($B48="","",IF($B48+1&gt;'Oneri mensili'!$C$4,"",EOMONTH(E49,0)))</f>
      </c>
      <c r="G49" s="79">
        <f ca="1">IF($B48="","",IF($B48+1&gt;'Oneri mensili'!$C$4,"",(F49-E49)+1)/DAY(F49))</f>
      </c>
      <c r="H49" s="80"/>
      <c r="I49" s="81">
        <f ca="1">IF($B48="","",IF($B48+1&gt;'Oneri mensili'!$C$4,"",I48-J48))</f>
      </c>
      <c r="J49" s="81">
        <f ca="1">IF($B48="","",IF($B48+1&gt;'Oneri mensili'!$C$4,"",IF(B48&lt;'Oneri mensili'!$C$11-1,0,IF('Oneri mensili'!$C$10=dropdowns!$B$186,'Oneri mensili'!$J$3,IF('Oneri mensili'!$C$10=dropdowns!$B$185,IFERROR('Oneri mensili'!$J$3-K49,0),0)))))</f>
      </c>
      <c r="K49" s="81">
        <f ca="1">IF($B48="","",IF($B48+1&gt;'Oneri mensili'!$C$4,"",G49*I49*'Oneri mensili'!$C$8))</f>
      </c>
      <c r="L49" s="81">
        <f t="shared" ca="1" si="2"/>
      </c>
      <c r="M49" s="81">
        <f t="shared" ca="1" si="0"/>
      </c>
      <c r="N49" s="80"/>
      <c r="O49" s="82">
        <f>IF($B49="","",'Oneri mensili'!$C$8)</f>
      </c>
      <c r="P49" s="82">
        <f>IF($B49="","",'Oneri mensili'!$C$8*(POWER(1+'Oneri mensili'!$C$8,$B49-1+1)))</f>
      </c>
      <c r="Q49" s="82">
        <f t="shared" ca="1" si="3"/>
      </c>
      <c r="R49" s="80"/>
      <c r="S49" s="81">
        <f t="shared" ca="1" si="1"/>
      </c>
      <c r="T49" s="81">
        <f ca="1">IF(S49="","",J49/(POWER(1+'Oneri mensili'!$C$8,$B49-1+1)))</f>
      </c>
      <c r="U49" s="83">
        <f t="shared" ca="1" si="4"/>
      </c>
      <c r="V49" s="81">
        <f ca="1">IF($B49="","",K49/(POWER(1+'Oneri mensili'!$C$8,$B49-1+1)))</f>
      </c>
      <c r="W49" s="80"/>
      <c r="X49" s="83"/>
      <c r="Y49" s="84"/>
    </row>
    <row r="50" spans="1:25" s="85" customFormat="1">
      <c r="A50" s="76"/>
      <c r="B50" s="77">
        <f>IF($B49="","",IF($B49+1&gt;'Oneri mensili'!$C$4,"",Schema!B49+1))</f>
      </c>
      <c r="C50" s="78">
        <f ca="1">IF($B49="","",IF($B49+1&gt;'Oneri mensili'!$C$4,"",EOMONTH(C49,0)+1))</f>
      </c>
      <c r="D50" s="76"/>
      <c r="E50" s="78">
        <f ca="1">IF($B49="","",IF($B49+1&gt;'Oneri mensili'!$C$4,"",F49+1))</f>
      </c>
      <c r="F50" s="78">
        <f ca="1">IF($B49="","",IF($B49+1&gt;'Oneri mensili'!$C$4,"",EOMONTH(E50,0)))</f>
      </c>
      <c r="G50" s="79">
        <f ca="1">IF($B49="","",IF($B49+1&gt;'Oneri mensili'!$C$4,"",(F50-E50)+1)/DAY(F50))</f>
      </c>
      <c r="H50" s="80"/>
      <c r="I50" s="81">
        <f ca="1">IF($B49="","",IF($B49+1&gt;'Oneri mensili'!$C$4,"",I49-J49))</f>
      </c>
      <c r="J50" s="81">
        <f ca="1">IF($B49="","",IF($B49+1&gt;'Oneri mensili'!$C$4,"",IF(B49&lt;'Oneri mensili'!$C$11-1,0,IF('Oneri mensili'!$C$10=dropdowns!$B$186,'Oneri mensili'!$J$3,IF('Oneri mensili'!$C$10=dropdowns!$B$185,IFERROR('Oneri mensili'!$J$3-K50,0),0)))))</f>
      </c>
      <c r="K50" s="81">
        <f ca="1">IF($B49="","",IF($B49+1&gt;'Oneri mensili'!$C$4,"",G50*I50*'Oneri mensili'!$C$8))</f>
      </c>
      <c r="L50" s="81">
        <f t="shared" ca="1" si="2"/>
      </c>
      <c r="M50" s="81">
        <f t="shared" ca="1" si="0"/>
      </c>
      <c r="N50" s="80"/>
      <c r="O50" s="82">
        <f>IF($B50="","",'Oneri mensili'!$C$8)</f>
      </c>
      <c r="P50" s="82">
        <f>IF($B50="","",'Oneri mensili'!$C$8*(POWER(1+'Oneri mensili'!$C$8,$B50-1+1)))</f>
      </c>
      <c r="Q50" s="82">
        <f t="shared" ca="1" si="3"/>
      </c>
      <c r="R50" s="80"/>
      <c r="S50" s="81">
        <f t="shared" ca="1" si="1"/>
      </c>
      <c r="T50" s="81">
        <f ca="1">IF(S50="","",J50/(POWER(1+'Oneri mensili'!$C$8,$B50-1+1)))</f>
      </c>
      <c r="U50" s="83">
        <f t="shared" ca="1" si="4"/>
      </c>
      <c r="V50" s="81">
        <f ca="1">IF($B50="","",K50/(POWER(1+'Oneri mensili'!$C$8,$B50-1+1)))</f>
      </c>
      <c r="W50" s="80"/>
      <c r="X50" s="83"/>
      <c r="Y50" s="84"/>
    </row>
    <row r="51" spans="1:25" s="85" customFormat="1">
      <c r="A51" s="76"/>
      <c r="B51" s="77">
        <f>IF($B50="","",IF($B50+1&gt;'Oneri mensili'!$C$4,"",Schema!B50+1))</f>
      </c>
      <c r="C51" s="78">
        <f ca="1">IF($B50="","",IF($B50+1&gt;'Oneri mensili'!$C$4,"",EOMONTH(C50,0)+1))</f>
      </c>
      <c r="D51" s="76"/>
      <c r="E51" s="78">
        <f ca="1">IF($B50="","",IF($B50+1&gt;'Oneri mensili'!$C$4,"",F50+1))</f>
      </c>
      <c r="F51" s="78">
        <f ca="1">IF($B50="","",IF($B50+1&gt;'Oneri mensili'!$C$4,"",EOMONTH(E51,0)))</f>
      </c>
      <c r="G51" s="79">
        <f ca="1">IF($B50="","",IF($B50+1&gt;'Oneri mensili'!$C$4,"",(F51-E51)+1)/DAY(F51))</f>
      </c>
      <c r="H51" s="80"/>
      <c r="I51" s="81">
        <f ca="1">IF($B50="","",IF($B50+1&gt;'Oneri mensili'!$C$4,"",I50-J50))</f>
      </c>
      <c r="J51" s="81">
        <f ca="1">IF($B50="","",IF($B50+1&gt;'Oneri mensili'!$C$4,"",IF(B50&lt;'Oneri mensili'!$C$11-1,0,IF('Oneri mensili'!$C$10=dropdowns!$B$186,'Oneri mensili'!$J$3,IF('Oneri mensili'!$C$10=dropdowns!$B$185,IFERROR('Oneri mensili'!$J$3-K51,0),0)))))</f>
      </c>
      <c r="K51" s="81">
        <f ca="1">IF($B50="","",IF($B50+1&gt;'Oneri mensili'!$C$4,"",G51*I51*'Oneri mensili'!$C$8))</f>
      </c>
      <c r="L51" s="81">
        <f t="shared" ca="1" si="2"/>
      </c>
      <c r="M51" s="81">
        <f t="shared" ca="1" si="0"/>
      </c>
      <c r="N51" s="80"/>
      <c r="O51" s="82">
        <f>IF($B51="","",'Oneri mensili'!$C$8)</f>
      </c>
      <c r="P51" s="82">
        <f>IF($B51="","",'Oneri mensili'!$C$8*(POWER(1+'Oneri mensili'!$C$8,$B51-1+1)))</f>
      </c>
      <c r="Q51" s="82">
        <f t="shared" ca="1" si="3"/>
      </c>
      <c r="R51" s="80"/>
      <c r="S51" s="81">
        <f t="shared" ca="1" si="1"/>
      </c>
      <c r="T51" s="81">
        <f ca="1">IF(S51="","",J51/(POWER(1+'Oneri mensili'!$C$8,$B51-1+1)))</f>
      </c>
      <c r="U51" s="83">
        <f t="shared" ca="1" si="4"/>
      </c>
      <c r="V51" s="81">
        <f ca="1">IF($B51="","",K51/(POWER(1+'Oneri mensili'!$C$8,$B51-1+1)))</f>
      </c>
      <c r="W51" s="80"/>
      <c r="X51" s="83"/>
      <c r="Y51" s="84"/>
    </row>
    <row r="52" spans="1:25" s="85" customFormat="1">
      <c r="A52" s="76"/>
      <c r="B52" s="77">
        <f>IF($B51="","",IF($B51+1&gt;'Oneri mensili'!$C$4,"",Schema!B51+1))</f>
      </c>
      <c r="C52" s="78">
        <f ca="1">IF($B51="","",IF($B51+1&gt;'Oneri mensili'!$C$4,"",EOMONTH(C51,0)+1))</f>
      </c>
      <c r="D52" s="76"/>
      <c r="E52" s="78">
        <f ca="1">IF($B51="","",IF($B51+1&gt;'Oneri mensili'!$C$4,"",F51+1))</f>
      </c>
      <c r="F52" s="78">
        <f ca="1">IF($B51="","",IF($B51+1&gt;'Oneri mensili'!$C$4,"",EOMONTH(E52,0)))</f>
      </c>
      <c r="G52" s="79">
        <f ca="1">IF($B51="","",IF($B51+1&gt;'Oneri mensili'!$C$4,"",(F52-E52)+1)/DAY(F52))</f>
      </c>
      <c r="H52" s="80"/>
      <c r="I52" s="81">
        <f ca="1">IF($B51="","",IF($B51+1&gt;'Oneri mensili'!$C$4,"",I51-J51))</f>
      </c>
      <c r="J52" s="81">
        <f ca="1">IF($B51="","",IF($B51+1&gt;'Oneri mensili'!$C$4,"",IF(B51&lt;'Oneri mensili'!$C$11-1,0,IF('Oneri mensili'!$C$10=dropdowns!$B$186,'Oneri mensili'!$J$3,IF('Oneri mensili'!$C$10=dropdowns!$B$185,IFERROR('Oneri mensili'!$J$3-K52,0),0)))))</f>
      </c>
      <c r="K52" s="81">
        <f ca="1">IF($B51="","",IF($B51+1&gt;'Oneri mensili'!$C$4,"",G52*I52*'Oneri mensili'!$C$8))</f>
      </c>
      <c r="L52" s="81">
        <f t="shared" ca="1" si="2"/>
      </c>
      <c r="M52" s="81">
        <f t="shared" ca="1" si="0"/>
      </c>
      <c r="N52" s="80"/>
      <c r="O52" s="82">
        <f>IF($B52="","",'Oneri mensili'!$C$8)</f>
      </c>
      <c r="P52" s="82">
        <f>IF($B52="","",'Oneri mensili'!$C$8*(POWER(1+'Oneri mensili'!$C$8,$B52-1+1)))</f>
      </c>
      <c r="Q52" s="82">
        <f t="shared" ca="1" si="3"/>
      </c>
      <c r="R52" s="80"/>
      <c r="S52" s="81">
        <f t="shared" ca="1" si="1"/>
      </c>
      <c r="T52" s="81">
        <f ca="1">IF(S52="","",J52/(POWER(1+'Oneri mensili'!$C$8,$B52-1+1)))</f>
      </c>
      <c r="U52" s="83">
        <f t="shared" ca="1" si="4"/>
      </c>
      <c r="V52" s="81">
        <f ca="1">IF($B52="","",K52/(POWER(1+'Oneri mensili'!$C$8,$B52-1+1)))</f>
      </c>
      <c r="W52" s="80"/>
      <c r="X52" s="83"/>
      <c r="Y52" s="84"/>
    </row>
    <row r="53" spans="1:25" s="85" customFormat="1">
      <c r="A53" s="76"/>
      <c r="B53" s="77">
        <f>IF($B52="","",IF($B52+1&gt;'Oneri mensili'!$C$4,"",Schema!B52+1))</f>
      </c>
      <c r="C53" s="78">
        <f ca="1">IF($B52="","",IF($B52+1&gt;'Oneri mensili'!$C$4,"",EOMONTH(C52,0)+1))</f>
      </c>
      <c r="D53" s="76"/>
      <c r="E53" s="78">
        <f ca="1">IF($B52="","",IF($B52+1&gt;'Oneri mensili'!$C$4,"",F52+1))</f>
      </c>
      <c r="F53" s="78">
        <f ca="1">IF($B52="","",IF($B52+1&gt;'Oneri mensili'!$C$4,"",EOMONTH(E53,0)))</f>
      </c>
      <c r="G53" s="79">
        <f ca="1">IF($B52="","",IF($B52+1&gt;'Oneri mensili'!$C$4,"",(F53-E53)+1)/DAY(F53))</f>
      </c>
      <c r="H53" s="80"/>
      <c r="I53" s="81">
        <f ca="1">IF($B52="","",IF($B52+1&gt;'Oneri mensili'!$C$4,"",I52-J52))</f>
      </c>
      <c r="J53" s="81">
        <f ca="1">IF($B52="","",IF($B52+1&gt;'Oneri mensili'!$C$4,"",IF(B52&lt;'Oneri mensili'!$C$11-1,0,IF('Oneri mensili'!$C$10=dropdowns!$B$186,'Oneri mensili'!$J$3,IF('Oneri mensili'!$C$10=dropdowns!$B$185,IFERROR('Oneri mensili'!$J$3-K53,0),0)))))</f>
      </c>
      <c r="K53" s="81">
        <f ca="1">IF($B52="","",IF($B52+1&gt;'Oneri mensili'!$C$4,"",G53*I53*'Oneri mensili'!$C$8))</f>
      </c>
      <c r="L53" s="81">
        <f t="shared" ca="1" si="2"/>
      </c>
      <c r="M53" s="81">
        <f t="shared" ca="1" si="0"/>
      </c>
      <c r="N53" s="80"/>
      <c r="O53" s="82">
        <f>IF($B53="","",'Oneri mensili'!$C$8)</f>
      </c>
      <c r="P53" s="82">
        <f>IF($B53="","",'Oneri mensili'!$C$8*(POWER(1+'Oneri mensili'!$C$8,$B53-1+1)))</f>
      </c>
      <c r="Q53" s="82">
        <f t="shared" ca="1" si="3"/>
      </c>
      <c r="R53" s="80"/>
      <c r="S53" s="81">
        <f t="shared" ca="1" si="1"/>
      </c>
      <c r="T53" s="81">
        <f ca="1">IF(S53="","",J53/(POWER(1+'Oneri mensili'!$C$8,$B53-1+1)))</f>
      </c>
      <c r="U53" s="83">
        <f t="shared" ca="1" si="4"/>
      </c>
      <c r="V53" s="81">
        <f ca="1">IF($B53="","",K53/(POWER(1+'Oneri mensili'!$C$8,$B53-1+1)))</f>
      </c>
      <c r="W53" s="80"/>
      <c r="X53" s="83"/>
      <c r="Y53" s="84"/>
    </row>
    <row r="54" spans="1:25" s="85" customFormat="1">
      <c r="A54" s="76"/>
      <c r="B54" s="77">
        <f>IF($B53="","",IF($B53+1&gt;'Oneri mensili'!$C$4,"",Schema!B53+1))</f>
      </c>
      <c r="C54" s="78">
        <f ca="1">IF($B53="","",IF($B53+1&gt;'Oneri mensili'!$C$4,"",EOMONTH(C53,0)+1))</f>
      </c>
      <c r="D54" s="76"/>
      <c r="E54" s="78">
        <f ca="1">IF($B53="","",IF($B53+1&gt;'Oneri mensili'!$C$4,"",F53+1))</f>
      </c>
      <c r="F54" s="78">
        <f ca="1">IF($B53="","",IF($B53+1&gt;'Oneri mensili'!$C$4,"",EOMONTH(E54,0)))</f>
      </c>
      <c r="G54" s="79">
        <f ca="1">IF($B53="","",IF($B53+1&gt;'Oneri mensili'!$C$4,"",(F54-E54)+1)/DAY(F54))</f>
      </c>
      <c r="H54" s="80"/>
      <c r="I54" s="81">
        <f ca="1">IF($B53="","",IF($B53+1&gt;'Oneri mensili'!$C$4,"",I53-J53))</f>
      </c>
      <c r="J54" s="81">
        <f ca="1">IF($B53="","",IF($B53+1&gt;'Oneri mensili'!$C$4,"",IF(B53&lt;'Oneri mensili'!$C$11-1,0,IF('Oneri mensili'!$C$10=dropdowns!$B$186,'Oneri mensili'!$J$3,IF('Oneri mensili'!$C$10=dropdowns!$B$185,IFERROR('Oneri mensili'!$J$3-K54,0),0)))))</f>
      </c>
      <c r="K54" s="81">
        <f ca="1">IF($B53="","",IF($B53+1&gt;'Oneri mensili'!$C$4,"",G54*I54*'Oneri mensili'!$C$8))</f>
      </c>
      <c r="L54" s="81">
        <f t="shared" ca="1" si="2"/>
      </c>
      <c r="M54" s="81">
        <f t="shared" ca="1" si="0"/>
      </c>
      <c r="N54" s="80"/>
      <c r="O54" s="82">
        <f>IF($B54="","",'Oneri mensili'!$C$8)</f>
      </c>
      <c r="P54" s="82">
        <f>IF($B54="","",'Oneri mensili'!$C$8*(POWER(1+'Oneri mensili'!$C$8,$B54-1+1)))</f>
      </c>
      <c r="Q54" s="82">
        <f t="shared" ca="1" si="3"/>
      </c>
      <c r="R54" s="80"/>
      <c r="S54" s="81">
        <f t="shared" ca="1" si="1"/>
      </c>
      <c r="T54" s="81">
        <f ca="1">IF(S54="","",J54/(POWER(1+'Oneri mensili'!$C$8,$B54-1+1)))</f>
      </c>
      <c r="U54" s="83">
        <f t="shared" ca="1" si="4"/>
      </c>
      <c r="V54" s="81">
        <f ca="1">IF($B54="","",K54/(POWER(1+'Oneri mensili'!$C$8,$B54-1+1)))</f>
      </c>
      <c r="W54" s="80"/>
      <c r="X54" s="83"/>
      <c r="Y54" s="84"/>
    </row>
    <row r="55" spans="1:25" s="85" customFormat="1">
      <c r="A55" s="76"/>
      <c r="B55" s="77">
        <f>IF($B54="","",IF($B54+1&gt;'Oneri mensili'!$C$4,"",Schema!B54+1))</f>
      </c>
      <c r="C55" s="78">
        <f ca="1">IF($B54="","",IF($B54+1&gt;'Oneri mensili'!$C$4,"",EOMONTH(C54,0)+1))</f>
      </c>
      <c r="D55" s="76"/>
      <c r="E55" s="78">
        <f ca="1">IF($B54="","",IF($B54+1&gt;'Oneri mensili'!$C$4,"",F54+1))</f>
      </c>
      <c r="F55" s="78">
        <f ca="1">IF($B54="","",IF($B54+1&gt;'Oneri mensili'!$C$4,"",EOMONTH(E55,0)))</f>
      </c>
      <c r="G55" s="79">
        <f ca="1">IF($B54="","",IF($B54+1&gt;'Oneri mensili'!$C$4,"",(F55-E55)+1)/DAY(F55))</f>
      </c>
      <c r="H55" s="80"/>
      <c r="I55" s="81">
        <f ca="1">IF($B54="","",IF($B54+1&gt;'Oneri mensili'!$C$4,"",I54-J54))</f>
      </c>
      <c r="J55" s="81">
        <f ca="1">IF($B54="","",IF($B54+1&gt;'Oneri mensili'!$C$4,"",IF(B54&lt;'Oneri mensili'!$C$11-1,0,IF('Oneri mensili'!$C$10=dropdowns!$B$186,'Oneri mensili'!$J$3,IF('Oneri mensili'!$C$10=dropdowns!$B$185,IFERROR('Oneri mensili'!$J$3-K55,0),0)))))</f>
      </c>
      <c r="K55" s="81">
        <f ca="1">IF($B54="","",IF($B54+1&gt;'Oneri mensili'!$C$4,"",G55*I55*'Oneri mensili'!$C$8))</f>
      </c>
      <c r="L55" s="81">
        <f t="shared" ca="1" si="2"/>
      </c>
      <c r="M55" s="81">
        <f t="shared" ca="1" si="0"/>
      </c>
      <c r="N55" s="80"/>
      <c r="O55" s="82">
        <f>IF($B55="","",'Oneri mensili'!$C$8)</f>
      </c>
      <c r="P55" s="82">
        <f>IF($B55="","",'Oneri mensili'!$C$8*(POWER(1+'Oneri mensili'!$C$8,$B55-1+1)))</f>
      </c>
      <c r="Q55" s="82">
        <f t="shared" ca="1" si="3"/>
      </c>
      <c r="R55" s="80"/>
      <c r="S55" s="81">
        <f t="shared" ca="1" si="1"/>
      </c>
      <c r="T55" s="81">
        <f ca="1">IF(S55="","",J55/(POWER(1+'Oneri mensili'!$C$8,$B55-1+1)))</f>
      </c>
      <c r="U55" s="83">
        <f t="shared" ca="1" si="4"/>
      </c>
      <c r="V55" s="81">
        <f ca="1">IF($B55="","",K55/(POWER(1+'Oneri mensili'!$C$8,$B55-1+1)))</f>
      </c>
      <c r="W55" s="80"/>
      <c r="X55" s="83"/>
      <c r="Y55" s="84"/>
    </row>
    <row r="56" spans="1:25" s="85" customFormat="1">
      <c r="A56" s="76"/>
      <c r="B56" s="77">
        <f>IF($B55="","",IF($B55+1&gt;'Oneri mensili'!$C$4,"",Schema!B55+1))</f>
      </c>
      <c r="C56" s="78">
        <f ca="1">IF($B55="","",IF($B55+1&gt;'Oneri mensili'!$C$4,"",EOMONTH(C55,0)+1))</f>
      </c>
      <c r="D56" s="76"/>
      <c r="E56" s="78">
        <f ca="1">IF($B55="","",IF($B55+1&gt;'Oneri mensili'!$C$4,"",F55+1))</f>
      </c>
      <c r="F56" s="78">
        <f ca="1">IF($B55="","",IF($B55+1&gt;'Oneri mensili'!$C$4,"",EOMONTH(E56,0)))</f>
      </c>
      <c r="G56" s="79">
        <f ca="1">IF($B55="","",IF($B55+1&gt;'Oneri mensili'!$C$4,"",(F56-E56)+1)/DAY(F56))</f>
      </c>
      <c r="H56" s="80"/>
      <c r="I56" s="81">
        <f ca="1">IF($B55="","",IF($B55+1&gt;'Oneri mensili'!$C$4,"",I55-J55))</f>
      </c>
      <c r="J56" s="81">
        <f ca="1">IF($B55="","",IF($B55+1&gt;'Oneri mensili'!$C$4,"",IF(B55&lt;'Oneri mensili'!$C$11-1,0,IF('Oneri mensili'!$C$10=dropdowns!$B$186,'Oneri mensili'!$J$3,IF('Oneri mensili'!$C$10=dropdowns!$B$185,IFERROR('Oneri mensili'!$J$3-K56,0),0)))))</f>
      </c>
      <c r="K56" s="81">
        <f ca="1">IF($B55="","",IF($B55+1&gt;'Oneri mensili'!$C$4,"",G56*I56*'Oneri mensili'!$C$8))</f>
      </c>
      <c r="L56" s="81">
        <f t="shared" ca="1" si="2"/>
      </c>
      <c r="M56" s="81">
        <f t="shared" ca="1" si="0"/>
      </c>
      <c r="N56" s="80"/>
      <c r="O56" s="82">
        <f>IF($B56="","",'Oneri mensili'!$C$8)</f>
      </c>
      <c r="P56" s="82">
        <f>IF($B56="","",'Oneri mensili'!$C$8*(POWER(1+'Oneri mensili'!$C$8,$B56-1+1)))</f>
      </c>
      <c r="Q56" s="82">
        <f t="shared" ca="1" si="3"/>
      </c>
      <c r="R56" s="80"/>
      <c r="S56" s="81">
        <f t="shared" ca="1" si="1"/>
      </c>
      <c r="T56" s="81">
        <f ca="1">IF(S56="","",J56/(POWER(1+'Oneri mensili'!$C$8,$B56-1+1)))</f>
      </c>
      <c r="U56" s="83">
        <f t="shared" ca="1" si="4"/>
      </c>
      <c r="V56" s="81">
        <f ca="1">IF($B56="","",K56/(POWER(1+'Oneri mensili'!$C$8,$B56-1+1)))</f>
      </c>
      <c r="W56" s="80"/>
      <c r="X56" s="83"/>
      <c r="Y56" s="84"/>
    </row>
    <row r="57" spans="1:25" s="85" customFormat="1">
      <c r="A57" s="76"/>
      <c r="B57" s="77">
        <f>IF($B56="","",IF($B56+1&gt;'Oneri mensili'!$C$4,"",Schema!B56+1))</f>
      </c>
      <c r="C57" s="78">
        <f ca="1">IF($B56="","",IF($B56+1&gt;'Oneri mensili'!$C$4,"",EOMONTH(C56,0)+1))</f>
      </c>
      <c r="D57" s="76"/>
      <c r="E57" s="78">
        <f ca="1">IF($B56="","",IF($B56+1&gt;'Oneri mensili'!$C$4,"",F56+1))</f>
      </c>
      <c r="F57" s="78">
        <f ca="1">IF($B56="","",IF($B56+1&gt;'Oneri mensili'!$C$4,"",EOMONTH(E57,0)))</f>
      </c>
      <c r="G57" s="79">
        <f ca="1">IF($B56="","",IF($B56+1&gt;'Oneri mensili'!$C$4,"",(F57-E57)+1)/DAY(F57))</f>
      </c>
      <c r="H57" s="80"/>
      <c r="I57" s="81">
        <f ca="1">IF($B56="","",IF($B56+1&gt;'Oneri mensili'!$C$4,"",I56-J56))</f>
      </c>
      <c r="J57" s="81">
        <f ca="1">IF($B56="","",IF($B56+1&gt;'Oneri mensili'!$C$4,"",IF(B56&lt;'Oneri mensili'!$C$11-1,0,IF('Oneri mensili'!$C$10=dropdowns!$B$186,'Oneri mensili'!$J$3,IF('Oneri mensili'!$C$10=dropdowns!$B$185,IFERROR('Oneri mensili'!$J$3-K57,0),0)))))</f>
      </c>
      <c r="K57" s="81">
        <f ca="1">IF($B56="","",IF($B56+1&gt;'Oneri mensili'!$C$4,"",G57*I57*'Oneri mensili'!$C$8))</f>
      </c>
      <c r="L57" s="81">
        <f t="shared" ca="1" si="2"/>
      </c>
      <c r="M57" s="81">
        <f t="shared" ca="1" si="0"/>
      </c>
      <c r="N57" s="80"/>
      <c r="O57" s="82">
        <f>IF($B57="","",'Oneri mensili'!$C$8)</f>
      </c>
      <c r="P57" s="82">
        <f>IF($B57="","",'Oneri mensili'!$C$8*(POWER(1+'Oneri mensili'!$C$8,$B57-1+1)))</f>
      </c>
      <c r="Q57" s="82">
        <f t="shared" ca="1" si="3"/>
      </c>
      <c r="R57" s="80"/>
      <c r="S57" s="81">
        <f t="shared" ca="1" si="1"/>
      </c>
      <c r="T57" s="81">
        <f ca="1">IF(S57="","",J57/(POWER(1+'Oneri mensili'!$C$8,$B57-1+1)))</f>
      </c>
      <c r="U57" s="83">
        <f t="shared" ca="1" si="4"/>
      </c>
      <c r="V57" s="81">
        <f ca="1">IF($B57="","",K57/(POWER(1+'Oneri mensili'!$C$8,$B57-1+1)))</f>
      </c>
      <c r="W57" s="80"/>
      <c r="X57" s="83"/>
      <c r="Y57" s="84"/>
    </row>
    <row r="58" spans="1:25" s="85" customFormat="1">
      <c r="A58" s="76"/>
      <c r="B58" s="77">
        <f>IF($B57="","",IF($B57+1&gt;'Oneri mensili'!$C$4,"",Schema!B57+1))</f>
      </c>
      <c r="C58" s="78">
        <f ca="1">IF($B57="","",IF($B57+1&gt;'Oneri mensili'!$C$4,"",EOMONTH(C57,0)+1))</f>
      </c>
      <c r="D58" s="76"/>
      <c r="E58" s="78">
        <f ca="1">IF($B57="","",IF($B57+1&gt;'Oneri mensili'!$C$4,"",F57+1))</f>
      </c>
      <c r="F58" s="78">
        <f ca="1">IF($B57="","",IF($B57+1&gt;'Oneri mensili'!$C$4,"",EOMONTH(E58,0)))</f>
      </c>
      <c r="G58" s="79">
        <f ca="1">IF($B57="","",IF($B57+1&gt;'Oneri mensili'!$C$4,"",(F58-E58)+1)/DAY(F58))</f>
      </c>
      <c r="H58" s="80"/>
      <c r="I58" s="81">
        <f ca="1">IF($B57="","",IF($B57+1&gt;'Oneri mensili'!$C$4,"",I57-J57))</f>
      </c>
      <c r="J58" s="81">
        <f ca="1">IF($B57="","",IF($B57+1&gt;'Oneri mensili'!$C$4,"",IF(B57&lt;'Oneri mensili'!$C$11-1,0,IF('Oneri mensili'!$C$10=dropdowns!$B$186,'Oneri mensili'!$J$3,IF('Oneri mensili'!$C$10=dropdowns!$B$185,IFERROR('Oneri mensili'!$J$3-K58,0),0)))))</f>
      </c>
      <c r="K58" s="81">
        <f ca="1">IF($B57="","",IF($B57+1&gt;'Oneri mensili'!$C$4,"",G58*I58*'Oneri mensili'!$C$8))</f>
      </c>
      <c r="L58" s="81">
        <f t="shared" ca="1" si="2"/>
      </c>
      <c r="M58" s="81">
        <f t="shared" ca="1" si="0"/>
      </c>
      <c r="N58" s="80"/>
      <c r="O58" s="82">
        <f>IF($B58="","",'Oneri mensili'!$C$8)</f>
      </c>
      <c r="P58" s="82">
        <f>IF($B58="","",'Oneri mensili'!$C$8*(POWER(1+'Oneri mensili'!$C$8,$B58-1+1)))</f>
      </c>
      <c r="Q58" s="82">
        <f t="shared" ca="1" si="3"/>
      </c>
      <c r="R58" s="80"/>
      <c r="S58" s="81">
        <f t="shared" ca="1" si="1"/>
      </c>
      <c r="T58" s="81">
        <f ca="1">IF(S58="","",J58/(POWER(1+'Oneri mensili'!$C$8,$B58-1+1)))</f>
      </c>
      <c r="U58" s="83">
        <f t="shared" ca="1" si="4"/>
      </c>
      <c r="V58" s="81">
        <f ca="1">IF($B58="","",K58/(POWER(1+'Oneri mensili'!$C$8,$B58-1+1)))</f>
      </c>
      <c r="W58" s="80"/>
      <c r="X58" s="83"/>
      <c r="Y58" s="84"/>
    </row>
    <row r="59" spans="1:25" s="85" customFormat="1">
      <c r="A59" s="76"/>
      <c r="B59" s="77">
        <f>IF($B58="","",IF($B58+1&gt;'Oneri mensili'!$C$4,"",Schema!B58+1))</f>
      </c>
      <c r="C59" s="78">
        <f ca="1">IF($B58="","",IF($B58+1&gt;'Oneri mensili'!$C$4,"",EOMONTH(C58,0)+1))</f>
      </c>
      <c r="D59" s="76"/>
      <c r="E59" s="78">
        <f ca="1">IF($B58="","",IF($B58+1&gt;'Oneri mensili'!$C$4,"",F58+1))</f>
      </c>
      <c r="F59" s="78">
        <f ca="1">IF($B58="","",IF($B58+1&gt;'Oneri mensili'!$C$4,"",EOMONTH(E59,0)))</f>
      </c>
      <c r="G59" s="79">
        <f ca="1">IF($B58="","",IF($B58+1&gt;'Oneri mensili'!$C$4,"",(F59-E59)+1)/DAY(F59))</f>
      </c>
      <c r="H59" s="80"/>
      <c r="I59" s="81">
        <f ca="1">IF($B58="","",IF($B58+1&gt;'Oneri mensili'!$C$4,"",I58-J58))</f>
      </c>
      <c r="J59" s="81">
        <f ca="1">IF($B58="","",IF($B58+1&gt;'Oneri mensili'!$C$4,"",IF(B58&lt;'Oneri mensili'!$C$11-1,0,IF('Oneri mensili'!$C$10=dropdowns!$B$186,'Oneri mensili'!$J$3,IF('Oneri mensili'!$C$10=dropdowns!$B$185,IFERROR('Oneri mensili'!$J$3-K59,0),0)))))</f>
      </c>
      <c r="K59" s="81">
        <f ca="1">IF($B58="","",IF($B58+1&gt;'Oneri mensili'!$C$4,"",G59*I59*'Oneri mensili'!$C$8))</f>
      </c>
      <c r="L59" s="81">
        <f t="shared" ca="1" si="2"/>
      </c>
      <c r="M59" s="81">
        <f t="shared" ca="1" si="0"/>
      </c>
      <c r="N59" s="80"/>
      <c r="O59" s="82">
        <f>IF($B59="","",'Oneri mensili'!$C$8)</f>
      </c>
      <c r="P59" s="82">
        <f>IF($B59="","",'Oneri mensili'!$C$8*(POWER(1+'Oneri mensili'!$C$8,$B59-1+1)))</f>
      </c>
      <c r="Q59" s="82">
        <f t="shared" ca="1" si="3"/>
      </c>
      <c r="R59" s="80"/>
      <c r="S59" s="81">
        <f t="shared" ca="1" si="1"/>
      </c>
      <c r="T59" s="81">
        <f ca="1">IF(S59="","",J59/(POWER(1+'Oneri mensili'!$C$8,$B59-1+1)))</f>
      </c>
      <c r="U59" s="83">
        <f t="shared" ca="1" si="4"/>
      </c>
      <c r="V59" s="81">
        <f ca="1">IF($B59="","",K59/(POWER(1+'Oneri mensili'!$C$8,$B59-1+1)))</f>
      </c>
      <c r="W59" s="80"/>
      <c r="X59" s="83"/>
      <c r="Y59" s="84"/>
    </row>
    <row r="60" spans="1:25" s="85" customFormat="1">
      <c r="A60" s="76"/>
      <c r="B60" s="77">
        <f>IF($B59="","",IF($B59+1&gt;'Oneri mensili'!$C$4,"",Schema!B59+1))</f>
      </c>
      <c r="C60" s="78">
        <f ca="1">IF($B59="","",IF($B59+1&gt;'Oneri mensili'!$C$4,"",EOMONTH(C59,0)+1))</f>
      </c>
      <c r="D60" s="76"/>
      <c r="E60" s="78">
        <f ca="1">IF($B59="","",IF($B59+1&gt;'Oneri mensili'!$C$4,"",F59+1))</f>
      </c>
      <c r="F60" s="78">
        <f ca="1">IF($B59="","",IF($B59+1&gt;'Oneri mensili'!$C$4,"",EOMONTH(E60,0)))</f>
      </c>
      <c r="G60" s="79">
        <f ca="1">IF($B59="","",IF($B59+1&gt;'Oneri mensili'!$C$4,"",(F60-E60)+1)/DAY(F60))</f>
      </c>
      <c r="H60" s="80"/>
      <c r="I60" s="81">
        <f ca="1">IF($B59="","",IF($B59+1&gt;'Oneri mensili'!$C$4,"",I59-J59))</f>
      </c>
      <c r="J60" s="81">
        <f ca="1">IF($B59="","",IF($B59+1&gt;'Oneri mensili'!$C$4,"",IF(B59&lt;'Oneri mensili'!$C$11-1,0,IF('Oneri mensili'!$C$10=dropdowns!$B$186,'Oneri mensili'!$J$3,IF('Oneri mensili'!$C$10=dropdowns!$B$185,IFERROR('Oneri mensili'!$J$3-K60,0),0)))))</f>
      </c>
      <c r="K60" s="81">
        <f ca="1">IF($B59="","",IF($B59+1&gt;'Oneri mensili'!$C$4,"",G60*I60*'Oneri mensili'!$C$8))</f>
      </c>
      <c r="L60" s="81">
        <f t="shared" ca="1" si="2"/>
      </c>
      <c r="M60" s="81">
        <f t="shared" ca="1" si="0"/>
      </c>
      <c r="N60" s="80"/>
      <c r="O60" s="82">
        <f>IF($B60="","",'Oneri mensili'!$C$8)</f>
      </c>
      <c r="P60" s="82">
        <f>IF($B60="","",'Oneri mensili'!$C$8*(POWER(1+'Oneri mensili'!$C$8,$B60-1+1)))</f>
      </c>
      <c r="Q60" s="82">
        <f t="shared" ca="1" si="3"/>
      </c>
      <c r="R60" s="80"/>
      <c r="S60" s="81">
        <f t="shared" ca="1" si="1"/>
      </c>
      <c r="T60" s="81">
        <f ca="1">IF(S60="","",J60/(POWER(1+'Oneri mensili'!$C$8,$B60-1+1)))</f>
      </c>
      <c r="U60" s="83">
        <f t="shared" ca="1" si="4"/>
      </c>
      <c r="V60" s="81">
        <f ca="1">IF($B60="","",K60/(POWER(1+'Oneri mensili'!$C$8,$B60-1+1)))</f>
      </c>
      <c r="W60" s="80"/>
      <c r="X60" s="83"/>
      <c r="Y60" s="84"/>
    </row>
    <row r="61" spans="1:25" s="85" customFormat="1">
      <c r="A61" s="76"/>
      <c r="B61" s="77">
        <f>IF($B60="","",IF($B60+1&gt;'Oneri mensili'!$C$4,"",Schema!B60+1))</f>
      </c>
      <c r="C61" s="78">
        <f ca="1">IF($B60="","",IF($B60+1&gt;'Oneri mensili'!$C$4,"",EOMONTH(C60,0)+1))</f>
      </c>
      <c r="D61" s="76"/>
      <c r="E61" s="78">
        <f ca="1">IF($B60="","",IF($B60+1&gt;'Oneri mensili'!$C$4,"",F60+1))</f>
      </c>
      <c r="F61" s="78">
        <f ca="1">IF($B60="","",IF($B60+1&gt;'Oneri mensili'!$C$4,"",EOMONTH(E61,0)))</f>
      </c>
      <c r="G61" s="79">
        <f ca="1">IF($B60="","",IF($B60+1&gt;'Oneri mensili'!$C$4,"",(F61-E61)+1)/DAY(F61))</f>
      </c>
      <c r="H61" s="80"/>
      <c r="I61" s="81">
        <f ca="1">IF($B60="","",IF($B60+1&gt;'Oneri mensili'!$C$4,"",I60-J60))</f>
      </c>
      <c r="J61" s="81">
        <f ca="1">IF($B60="","",IF($B60+1&gt;'Oneri mensili'!$C$4,"",IF(B60&lt;'Oneri mensili'!$C$11-1,0,IF('Oneri mensili'!$C$10=dropdowns!$B$186,'Oneri mensili'!$J$3,IF('Oneri mensili'!$C$10=dropdowns!$B$185,IFERROR('Oneri mensili'!$J$3-K61,0),0)))))</f>
      </c>
      <c r="K61" s="81">
        <f ca="1">IF($B60="","",IF($B60+1&gt;'Oneri mensili'!$C$4,"",G61*I61*'Oneri mensili'!$C$8))</f>
      </c>
      <c r="L61" s="81">
        <f t="shared" ca="1" si="2"/>
      </c>
      <c r="M61" s="81">
        <f t="shared" ca="1" si="0"/>
      </c>
      <c r="N61" s="80"/>
      <c r="O61" s="82">
        <f>IF($B61="","",'Oneri mensili'!$C$8)</f>
      </c>
      <c r="P61" s="82">
        <f>IF($B61="","",'Oneri mensili'!$C$8*(POWER(1+'Oneri mensili'!$C$8,$B61-1+1)))</f>
      </c>
      <c r="Q61" s="82">
        <f t="shared" ca="1" si="3"/>
      </c>
      <c r="R61" s="80"/>
      <c r="S61" s="81">
        <f t="shared" ca="1" si="1"/>
      </c>
      <c r="T61" s="81">
        <f ca="1">IF(S61="","",J61/(POWER(1+'Oneri mensili'!$C$8,$B61-1+1)))</f>
      </c>
      <c r="U61" s="83">
        <f t="shared" ca="1" si="4"/>
      </c>
      <c r="V61" s="81">
        <f ca="1">IF($B61="","",K61/(POWER(1+'Oneri mensili'!$C$8,$B61-1+1)))</f>
      </c>
      <c r="W61" s="80"/>
      <c r="X61" s="83"/>
      <c r="Y61" s="84"/>
    </row>
    <row r="62" spans="1:25" s="85" customFormat="1">
      <c r="A62" s="76"/>
      <c r="B62" s="77">
        <f>IF($B61="","",IF($B61+1&gt;'Oneri mensili'!$C$4,"",Schema!B61+1))</f>
      </c>
      <c r="C62" s="78">
        <f ca="1">IF($B61="","",IF($B61+1&gt;'Oneri mensili'!$C$4,"",EOMONTH(C61,0)+1))</f>
      </c>
      <c r="D62" s="76"/>
      <c r="E62" s="78">
        <f ca="1">IF($B61="","",IF($B61+1&gt;'Oneri mensili'!$C$4,"",F61+1))</f>
      </c>
      <c r="F62" s="78">
        <f ca="1">IF($B61="","",IF($B61+1&gt;'Oneri mensili'!$C$4,"",EOMONTH(E62,0)))</f>
      </c>
      <c r="G62" s="79">
        <f ca="1">IF($B61="","",IF($B61+1&gt;'Oneri mensili'!$C$4,"",(F62-E62)+1)/DAY(F62))</f>
      </c>
      <c r="H62" s="80"/>
      <c r="I62" s="81">
        <f ca="1">IF($B61="","",IF($B61+1&gt;'Oneri mensili'!$C$4,"",I61-J61))</f>
      </c>
      <c r="J62" s="81">
        <f ca="1">IF($B61="","",IF($B61+1&gt;'Oneri mensili'!$C$4,"",IF(B61&lt;'Oneri mensili'!$C$11-1,0,IF('Oneri mensili'!$C$10=dropdowns!$B$186,'Oneri mensili'!$J$3,IF('Oneri mensili'!$C$10=dropdowns!$B$185,IFERROR('Oneri mensili'!$J$3-K62,0),0)))))</f>
      </c>
      <c r="K62" s="81">
        <f ca="1">IF($B61="","",IF($B61+1&gt;'Oneri mensili'!$C$4,"",G62*I62*'Oneri mensili'!$C$8))</f>
      </c>
      <c r="L62" s="81">
        <f t="shared" ca="1" si="2"/>
      </c>
      <c r="M62" s="81">
        <f t="shared" ca="1" si="0"/>
      </c>
      <c r="N62" s="80"/>
      <c r="O62" s="82">
        <f>IF($B62="","",'Oneri mensili'!$C$8)</f>
      </c>
      <c r="P62" s="82">
        <f>IF($B62="","",'Oneri mensili'!$C$8*(POWER(1+'Oneri mensili'!$C$8,$B62-1+1)))</f>
      </c>
      <c r="Q62" s="82">
        <f t="shared" ca="1" si="3"/>
      </c>
      <c r="R62" s="80"/>
      <c r="S62" s="81">
        <f t="shared" ca="1" si="1"/>
      </c>
      <c r="T62" s="81">
        <f ca="1">IF(S62="","",J62/(POWER(1+'Oneri mensili'!$C$8,$B62-1+1)))</f>
      </c>
      <c r="U62" s="83">
        <f t="shared" ca="1" si="4"/>
      </c>
      <c r="V62" s="81">
        <f ca="1">IF($B62="","",K62/(POWER(1+'Oneri mensili'!$C$8,$B62-1+1)))</f>
      </c>
      <c r="W62" s="80"/>
      <c r="X62" s="83"/>
      <c r="Y62" s="84"/>
    </row>
    <row r="63" spans="1:25" s="85" customFormat="1">
      <c r="A63" s="76"/>
      <c r="B63" s="77">
        <f>IF($B62="","",IF($B62+1&gt;'Oneri mensili'!$C$4,"",Schema!B62+1))</f>
      </c>
      <c r="C63" s="78">
        <f ca="1">IF($B62="","",IF($B62+1&gt;'Oneri mensili'!$C$4,"",EOMONTH(C62,0)+1))</f>
      </c>
      <c r="D63" s="76"/>
      <c r="E63" s="78">
        <f ca="1">IF($B62="","",IF($B62+1&gt;'Oneri mensili'!$C$4,"",F62+1))</f>
      </c>
      <c r="F63" s="78">
        <f ca="1">IF($B62="","",IF($B62+1&gt;'Oneri mensili'!$C$4,"",EOMONTH(E63,0)))</f>
      </c>
      <c r="G63" s="79">
        <f ca="1">IF($B62="","",IF($B62+1&gt;'Oneri mensili'!$C$4,"",(F63-E63)+1)/DAY(F63))</f>
      </c>
      <c r="H63" s="80"/>
      <c r="I63" s="81">
        <f ca="1">IF($B62="","",IF($B62+1&gt;'Oneri mensili'!$C$4,"",I62-J62))</f>
      </c>
      <c r="J63" s="81">
        <f ca="1">IF($B62="","",IF($B62+1&gt;'Oneri mensili'!$C$4,"",IF(B62&lt;'Oneri mensili'!$C$11-1,0,IF('Oneri mensili'!$C$10=dropdowns!$B$186,'Oneri mensili'!$J$3,IF('Oneri mensili'!$C$10=dropdowns!$B$185,IFERROR('Oneri mensili'!$J$3-K63,0),0)))))</f>
      </c>
      <c r="K63" s="81">
        <f ca="1">IF($B62="","",IF($B62+1&gt;'Oneri mensili'!$C$4,"",G63*I63*'Oneri mensili'!$C$8))</f>
      </c>
      <c r="L63" s="81">
        <f t="shared" ca="1" si="2"/>
      </c>
      <c r="M63" s="81">
        <f t="shared" ca="1" si="0"/>
      </c>
      <c r="N63" s="80"/>
      <c r="O63" s="82">
        <f>IF($B63="","",'Oneri mensili'!$C$8)</f>
      </c>
      <c r="P63" s="82">
        <f>IF($B63="","",'Oneri mensili'!$C$8*(POWER(1+'Oneri mensili'!$C$8,$B63-1+1)))</f>
      </c>
      <c r="Q63" s="82">
        <f t="shared" ca="1" si="3"/>
      </c>
      <c r="R63" s="80"/>
      <c r="S63" s="81">
        <f t="shared" ca="1" si="1"/>
      </c>
      <c r="T63" s="81">
        <f ca="1">IF(S63="","",J63/(POWER(1+'Oneri mensili'!$C$8,$B63-1+1)))</f>
      </c>
      <c r="U63" s="83">
        <f t="shared" ca="1" si="4"/>
      </c>
      <c r="V63" s="81">
        <f ca="1">IF($B63="","",K63/(POWER(1+'Oneri mensili'!$C$8,$B63-1+1)))</f>
      </c>
      <c r="W63" s="80"/>
      <c r="X63" s="83"/>
      <c r="Y63" s="84"/>
    </row>
    <row r="64" spans="1:25" s="85" customFormat="1">
      <c r="A64" s="76"/>
      <c r="B64" s="77">
        <f>IF($B63="","",IF($B63+1&gt;'Oneri mensili'!$C$4,"",Schema!B63+1))</f>
      </c>
      <c r="C64" s="78">
        <f ca="1">IF($B63="","",IF($B63+1&gt;'Oneri mensili'!$C$4,"",EOMONTH(C63,0)+1))</f>
      </c>
      <c r="D64" s="76"/>
      <c r="E64" s="78">
        <f ca="1">IF($B63="","",IF($B63+1&gt;'Oneri mensili'!$C$4,"",F63+1))</f>
      </c>
      <c r="F64" s="78">
        <f ca="1">IF($B63="","",IF($B63+1&gt;'Oneri mensili'!$C$4,"",EOMONTH(E64,0)))</f>
      </c>
      <c r="G64" s="79">
        <f ca="1">IF($B63="","",IF($B63+1&gt;'Oneri mensili'!$C$4,"",(F64-E64)+1)/DAY(F64))</f>
      </c>
      <c r="H64" s="80"/>
      <c r="I64" s="81">
        <f ca="1">IF($B63="","",IF($B63+1&gt;'Oneri mensili'!$C$4,"",I63-J63))</f>
      </c>
      <c r="J64" s="81">
        <f ca="1">IF($B63="","",IF($B63+1&gt;'Oneri mensili'!$C$4,"",IF(B63&lt;'Oneri mensili'!$C$11-1,0,IF('Oneri mensili'!$C$10=dropdowns!$B$186,'Oneri mensili'!$J$3,IF('Oneri mensili'!$C$10=dropdowns!$B$185,IFERROR('Oneri mensili'!$J$3-K64,0),0)))))</f>
      </c>
      <c r="K64" s="81">
        <f ca="1">IF($B63="","",IF($B63+1&gt;'Oneri mensili'!$C$4,"",G64*I64*'Oneri mensili'!$C$8))</f>
      </c>
      <c r="L64" s="81">
        <f t="shared" ca="1" si="2"/>
      </c>
      <c r="M64" s="81">
        <f t="shared" ca="1" si="0"/>
      </c>
      <c r="N64" s="80"/>
      <c r="O64" s="82">
        <f>IF($B64="","",'Oneri mensili'!$C$8)</f>
      </c>
      <c r="P64" s="82">
        <f>IF($B64="","",'Oneri mensili'!$C$8*(POWER(1+'Oneri mensili'!$C$8,$B64-1+1)))</f>
      </c>
      <c r="Q64" s="82">
        <f t="shared" ca="1" si="3"/>
      </c>
      <c r="R64" s="80"/>
      <c r="S64" s="81">
        <f t="shared" ca="1" si="1"/>
      </c>
      <c r="T64" s="81">
        <f ca="1">IF(S64="","",J64/(POWER(1+'Oneri mensili'!$C$8,$B64-1+1)))</f>
      </c>
      <c r="U64" s="83">
        <f t="shared" ca="1" si="4"/>
      </c>
      <c r="V64" s="81">
        <f ca="1">IF($B64="","",K64/(POWER(1+'Oneri mensili'!$C$8,$B64-1+1)))</f>
      </c>
      <c r="W64" s="80"/>
      <c r="X64" s="83"/>
      <c r="Y64" s="84"/>
    </row>
    <row r="65" spans="1:25" s="85" customFormat="1">
      <c r="A65" s="76"/>
      <c r="B65" s="77">
        <f>IF($B64="","",IF($B64+1&gt;'Oneri mensili'!$C$4,"",Schema!B64+1))</f>
      </c>
      <c r="C65" s="78">
        <f ca="1">IF($B64="","",IF($B64+1&gt;'Oneri mensili'!$C$4,"",EOMONTH(C64,0)+1))</f>
      </c>
      <c r="D65" s="76"/>
      <c r="E65" s="78">
        <f ca="1">IF($B64="","",IF($B64+1&gt;'Oneri mensili'!$C$4,"",F64+1))</f>
      </c>
      <c r="F65" s="78">
        <f ca="1">IF($B64="","",IF($B64+1&gt;'Oneri mensili'!$C$4,"",EOMONTH(E65,0)))</f>
      </c>
      <c r="G65" s="79">
        <f ca="1">IF($B64="","",IF($B64+1&gt;'Oneri mensili'!$C$4,"",(F65-E65)+1)/DAY(F65))</f>
      </c>
      <c r="H65" s="80"/>
      <c r="I65" s="81">
        <f ca="1">IF($B64="","",IF($B64+1&gt;'Oneri mensili'!$C$4,"",I64-J64))</f>
      </c>
      <c r="J65" s="81">
        <f ca="1">IF($B64="","",IF($B64+1&gt;'Oneri mensili'!$C$4,"",IF(B64&lt;'Oneri mensili'!$C$11-1,0,IF('Oneri mensili'!$C$10=dropdowns!$B$186,'Oneri mensili'!$J$3,IF('Oneri mensili'!$C$10=dropdowns!$B$185,IFERROR('Oneri mensili'!$J$3-K65,0),0)))))</f>
      </c>
      <c r="K65" s="81">
        <f ca="1">IF($B64="","",IF($B64+1&gt;'Oneri mensili'!$C$4,"",G65*I65*'Oneri mensili'!$C$8))</f>
      </c>
      <c r="L65" s="81">
        <f t="shared" ca="1" si="2"/>
      </c>
      <c r="M65" s="81">
        <f t="shared" ca="1" si="0"/>
      </c>
      <c r="N65" s="80"/>
      <c r="O65" s="82">
        <f>IF($B65="","",'Oneri mensili'!$C$8)</f>
      </c>
      <c r="P65" s="82">
        <f>IF($B65="","",'Oneri mensili'!$C$8*(POWER(1+'Oneri mensili'!$C$8,$B65-1+1)))</f>
      </c>
      <c r="Q65" s="82">
        <f t="shared" ca="1" si="3"/>
      </c>
      <c r="R65" s="80"/>
      <c r="S65" s="81">
        <f t="shared" ca="1" si="1"/>
      </c>
      <c r="T65" s="81">
        <f ca="1">IF(S65="","",J65/(POWER(1+'Oneri mensili'!$C$8,$B65-1+1)))</f>
      </c>
      <c r="U65" s="83">
        <f t="shared" ca="1" si="4"/>
      </c>
      <c r="V65" s="81">
        <f ca="1">IF($B65="","",K65/(POWER(1+'Oneri mensili'!$C$8,$B65-1+1)))</f>
      </c>
      <c r="W65" s="80"/>
      <c r="X65" s="83"/>
      <c r="Y65" s="84"/>
    </row>
    <row r="66" spans="1:25" s="85" customFormat="1">
      <c r="A66" s="76"/>
      <c r="B66" s="77">
        <f>IF($B65="","",IF($B65+1&gt;'Oneri mensili'!$C$4,"",Schema!B65+1))</f>
      </c>
      <c r="C66" s="78">
        <f ca="1">IF($B65="","",IF($B65+1&gt;'Oneri mensili'!$C$4,"",EOMONTH(C65,0)+1))</f>
      </c>
      <c r="D66" s="76"/>
      <c r="E66" s="78">
        <f ca="1">IF($B65="","",IF($B65+1&gt;'Oneri mensili'!$C$4,"",F65+1))</f>
      </c>
      <c r="F66" s="78">
        <f ca="1">IF($B65="","",IF($B65+1&gt;'Oneri mensili'!$C$4,"",EOMONTH(E66,0)))</f>
      </c>
      <c r="G66" s="79">
        <f ca="1">IF($B65="","",IF($B65+1&gt;'Oneri mensili'!$C$4,"",(F66-E66)+1)/DAY(F66))</f>
      </c>
      <c r="H66" s="80"/>
      <c r="I66" s="81">
        <f ca="1">IF($B65="","",IF($B65+1&gt;'Oneri mensili'!$C$4,"",I65-J65))</f>
      </c>
      <c r="J66" s="81">
        <f ca="1">IF($B65="","",IF($B65+1&gt;'Oneri mensili'!$C$4,"",IF(B65&lt;'Oneri mensili'!$C$11-1,0,IF('Oneri mensili'!$C$10=dropdowns!$B$186,'Oneri mensili'!$J$3,IF('Oneri mensili'!$C$10=dropdowns!$B$185,IFERROR('Oneri mensili'!$J$3-K66,0),0)))))</f>
      </c>
      <c r="K66" s="81">
        <f ca="1">IF($B65="","",IF($B65+1&gt;'Oneri mensili'!$C$4,"",G66*I66*'Oneri mensili'!$C$8))</f>
      </c>
      <c r="L66" s="81">
        <f t="shared" ca="1" si="2"/>
      </c>
      <c r="M66" s="81">
        <f t="shared" ca="1" si="0"/>
      </c>
      <c r="N66" s="80"/>
      <c r="O66" s="82">
        <f>IF($B66="","",'Oneri mensili'!$C$8)</f>
      </c>
      <c r="P66" s="82">
        <f>IF($B66="","",'Oneri mensili'!$C$8*(POWER(1+'Oneri mensili'!$C$8,$B66-1+1)))</f>
      </c>
      <c r="Q66" s="82">
        <f t="shared" ca="1" si="3"/>
      </c>
      <c r="R66" s="80"/>
      <c r="S66" s="81">
        <f t="shared" ca="1" si="1"/>
      </c>
      <c r="T66" s="81">
        <f ca="1">IF(S66="","",J66/(POWER(1+'Oneri mensili'!$C$8,$B66-1+1)))</f>
      </c>
      <c r="U66" s="83">
        <f t="shared" ca="1" si="4"/>
      </c>
      <c r="V66" s="81">
        <f ca="1">IF($B66="","",K66/(POWER(1+'Oneri mensili'!$C$8,$B66-1+1)))</f>
      </c>
      <c r="W66" s="80"/>
      <c r="X66" s="83"/>
      <c r="Y66" s="84"/>
    </row>
    <row r="67" spans="1:25" s="85" customFormat="1">
      <c r="A67" s="76"/>
      <c r="B67" s="77">
        <f>IF($B66="","",IF($B66+1&gt;'Oneri mensili'!$C$4,"",Schema!B66+1))</f>
      </c>
      <c r="C67" s="78">
        <f ca="1">IF($B66="","",IF($B66+1&gt;'Oneri mensili'!$C$4,"",EOMONTH(C66,0)+1))</f>
      </c>
      <c r="D67" s="76"/>
      <c r="E67" s="78">
        <f ca="1">IF($B66="","",IF($B66+1&gt;'Oneri mensili'!$C$4,"",F66+1))</f>
      </c>
      <c r="F67" s="78">
        <f ca="1">IF($B66="","",IF($B66+1&gt;'Oneri mensili'!$C$4,"",EOMONTH(E67,0)))</f>
      </c>
      <c r="G67" s="79">
        <f ca="1">IF($B66="","",IF($B66+1&gt;'Oneri mensili'!$C$4,"",(F67-E67)+1)/DAY(F67))</f>
      </c>
      <c r="H67" s="80"/>
      <c r="I67" s="81">
        <f ca="1">IF($B66="","",IF($B66+1&gt;'Oneri mensili'!$C$4,"",I66-J66))</f>
      </c>
      <c r="J67" s="81">
        <f ca="1">IF($B66="","",IF($B66+1&gt;'Oneri mensili'!$C$4,"",IF(B66&lt;'Oneri mensili'!$C$11-1,0,IF('Oneri mensili'!$C$10=dropdowns!$B$186,'Oneri mensili'!$J$3,IF('Oneri mensili'!$C$10=dropdowns!$B$185,IFERROR('Oneri mensili'!$J$3-K67,0),0)))))</f>
      </c>
      <c r="K67" s="81">
        <f ca="1">IF($B66="","",IF($B66+1&gt;'Oneri mensili'!$C$4,"",G67*I67*'Oneri mensili'!$C$8))</f>
      </c>
      <c r="L67" s="81">
        <f t="shared" ca="1" si="2"/>
      </c>
      <c r="M67" s="81">
        <f t="shared" ca="1" si="0"/>
      </c>
      <c r="N67" s="80"/>
      <c r="O67" s="82">
        <f>IF($B67="","",'Oneri mensili'!$C$8)</f>
      </c>
      <c r="P67" s="82">
        <f>IF($B67="","",'Oneri mensili'!$C$8*(POWER(1+'Oneri mensili'!$C$8,$B67-1+1)))</f>
      </c>
      <c r="Q67" s="82">
        <f t="shared" ca="1" si="3"/>
      </c>
      <c r="R67" s="80"/>
      <c r="S67" s="81">
        <f t="shared" ca="1" si="1"/>
      </c>
      <c r="T67" s="81">
        <f ca="1">IF(S67="","",J67/(POWER(1+'Oneri mensili'!$C$8,$B67-1+1)))</f>
      </c>
      <c r="U67" s="83">
        <f t="shared" ca="1" si="4"/>
      </c>
      <c r="V67" s="81">
        <f ca="1">IF($B67="","",K67/(POWER(1+'Oneri mensili'!$C$8,$B67-1+1)))</f>
      </c>
      <c r="W67" s="80"/>
      <c r="X67" s="83"/>
      <c r="Y67" s="84"/>
    </row>
    <row r="68" spans="1:25" s="85" customFormat="1">
      <c r="A68" s="76"/>
      <c r="B68" s="77">
        <f>IF($B67="","",IF($B67+1&gt;'Oneri mensili'!$C$4,"",Schema!B67+1))</f>
      </c>
      <c r="C68" s="78">
        <f ca="1">IF($B67="","",IF($B67+1&gt;'Oneri mensili'!$C$4,"",EOMONTH(C67,0)+1))</f>
      </c>
      <c r="D68" s="76"/>
      <c r="E68" s="78">
        <f ca="1">IF($B67="","",IF($B67+1&gt;'Oneri mensili'!$C$4,"",F67+1))</f>
      </c>
      <c r="F68" s="78">
        <f ca="1">IF($B67="","",IF($B67+1&gt;'Oneri mensili'!$C$4,"",EOMONTH(E68,0)))</f>
      </c>
      <c r="G68" s="79">
        <f ca="1">IF($B67="","",IF($B67+1&gt;'Oneri mensili'!$C$4,"",(F68-E68)+1)/DAY(F68))</f>
      </c>
      <c r="H68" s="80"/>
      <c r="I68" s="81">
        <f ca="1">IF($B67="","",IF($B67+1&gt;'Oneri mensili'!$C$4,"",I67-J67))</f>
      </c>
      <c r="J68" s="81">
        <f ca="1">IF($B67="","",IF($B67+1&gt;'Oneri mensili'!$C$4,"",IF(B67&lt;'Oneri mensili'!$C$11-1,0,IF('Oneri mensili'!$C$10=dropdowns!$B$186,'Oneri mensili'!$J$3,IF('Oneri mensili'!$C$10=dropdowns!$B$185,IFERROR('Oneri mensili'!$J$3-K68,0),0)))))</f>
      </c>
      <c r="K68" s="81">
        <f ca="1">IF($B67="","",IF($B67+1&gt;'Oneri mensili'!$C$4,"",G68*I68*'Oneri mensili'!$C$8))</f>
      </c>
      <c r="L68" s="81">
        <f t="shared" ca="1" si="2"/>
      </c>
      <c r="M68" s="81">
        <f t="shared" ca="1" si="0"/>
      </c>
      <c r="N68" s="80"/>
      <c r="O68" s="82">
        <f>IF($B68="","",'Oneri mensili'!$C$8)</f>
      </c>
      <c r="P68" s="82">
        <f>IF($B68="","",'Oneri mensili'!$C$8*(POWER(1+'Oneri mensili'!$C$8,$B68-1+1)))</f>
      </c>
      <c r="Q68" s="82">
        <f t="shared" ca="1" si="3"/>
      </c>
      <c r="R68" s="80"/>
      <c r="S68" s="81">
        <f t="shared" ca="1" si="1"/>
      </c>
      <c r="T68" s="81">
        <f ca="1">IF(S68="","",J68/(POWER(1+'Oneri mensili'!$C$8,$B68-1+1)))</f>
      </c>
      <c r="U68" s="83">
        <f t="shared" ca="1" si="4"/>
      </c>
      <c r="V68" s="81">
        <f ca="1">IF($B68="","",K68/(POWER(1+'Oneri mensili'!$C$8,$B68-1+1)))</f>
      </c>
      <c r="W68" s="80"/>
      <c r="X68" s="83"/>
      <c r="Y68" s="84"/>
    </row>
    <row r="69" spans="1:25" s="85" customFormat="1">
      <c r="A69" s="76"/>
      <c r="B69" s="77">
        <f>IF($B68="","",IF($B68+1&gt;'Oneri mensili'!$C$4,"",Schema!B68+1))</f>
      </c>
      <c r="C69" s="78">
        <f ca="1">IF($B68="","",IF($B68+1&gt;'Oneri mensili'!$C$4,"",EOMONTH(C68,0)+1))</f>
      </c>
      <c r="D69" s="76"/>
      <c r="E69" s="78">
        <f ca="1">IF($B68="","",IF($B68+1&gt;'Oneri mensili'!$C$4,"",F68+1))</f>
      </c>
      <c r="F69" s="78">
        <f ca="1">IF($B68="","",IF($B68+1&gt;'Oneri mensili'!$C$4,"",EOMONTH(E69,0)))</f>
      </c>
      <c r="G69" s="79">
        <f ca="1">IF($B68="","",IF($B68+1&gt;'Oneri mensili'!$C$4,"",(F69-E69)+1)/DAY(F69))</f>
      </c>
      <c r="H69" s="80"/>
      <c r="I69" s="81">
        <f ca="1">IF($B68="","",IF($B68+1&gt;'Oneri mensili'!$C$4,"",I68-J68))</f>
      </c>
      <c r="J69" s="81">
        <f ca="1">IF($B68="","",IF($B68+1&gt;'Oneri mensili'!$C$4,"",IF(B68&lt;'Oneri mensili'!$C$11-1,0,IF('Oneri mensili'!$C$10=dropdowns!$B$186,'Oneri mensili'!$J$3,IF('Oneri mensili'!$C$10=dropdowns!$B$185,IFERROR('Oneri mensili'!$J$3-K69,0),0)))))</f>
      </c>
      <c r="K69" s="81">
        <f ca="1">IF($B68="","",IF($B68+1&gt;'Oneri mensili'!$C$4,"",G69*I69*'Oneri mensili'!$C$8))</f>
      </c>
      <c r="L69" s="81">
        <f t="shared" ca="1" si="2"/>
      </c>
      <c r="M69" s="81">
        <f t="shared" ca="1" si="0"/>
      </c>
      <c r="N69" s="80"/>
      <c r="O69" s="82">
        <f>IF($B69="","",'Oneri mensili'!$C$8)</f>
      </c>
      <c r="P69" s="82">
        <f>IF($B69="","",'Oneri mensili'!$C$8*(POWER(1+'Oneri mensili'!$C$8,$B69-1+1)))</f>
      </c>
      <c r="Q69" s="82">
        <f t="shared" ca="1" si="3"/>
      </c>
      <c r="R69" s="80"/>
      <c r="S69" s="81">
        <f t="shared" ca="1" si="1"/>
      </c>
      <c r="T69" s="81">
        <f ca="1">IF(S69="","",J69/(POWER(1+'Oneri mensili'!$C$8,$B69-1+1)))</f>
      </c>
      <c r="U69" s="83">
        <f t="shared" ca="1" si="4"/>
      </c>
      <c r="V69" s="81">
        <f ca="1">IF($B69="","",K69/(POWER(1+'Oneri mensili'!$C$8,$B69-1+1)))</f>
      </c>
      <c r="W69" s="80"/>
    </row>
    <row r="70" spans="1:25" s="85" customFormat="1">
      <c r="A70" s="76"/>
      <c r="B70" s="77">
        <f>IF($B69="","",IF($B69+1&gt;'Oneri mensili'!$C$4,"",Schema!B69+1))</f>
      </c>
      <c r="C70" s="78">
        <f ca="1">IF($B69="","",IF($B69+1&gt;'Oneri mensili'!$C$4,"",EOMONTH(C69,0)+1))</f>
      </c>
      <c r="D70" s="76"/>
      <c r="E70" s="78">
        <f ca="1">IF($B69="","",IF($B69+1&gt;'Oneri mensili'!$C$4,"",F69+1))</f>
      </c>
      <c r="F70" s="78">
        <f ca="1">IF($B69="","",IF($B69+1&gt;'Oneri mensili'!$C$4,"",EOMONTH(E70,0)))</f>
      </c>
      <c r="G70" s="79">
        <f ca="1">IF($B69="","",IF($B69+1&gt;'Oneri mensili'!$C$4,"",(F70-E70)+1)/DAY(F70))</f>
      </c>
      <c r="H70" s="80"/>
      <c r="I70" s="81">
        <f ca="1">IF($B69="","",IF($B69+1&gt;'Oneri mensili'!$C$4,"",I69-J69))</f>
      </c>
      <c r="J70" s="81">
        <f ca="1">IF($B69="","",IF($B69+1&gt;'Oneri mensili'!$C$4,"",IF(B69&lt;'Oneri mensili'!$C$11-1,0,IF('Oneri mensili'!$C$10=dropdowns!$B$186,'Oneri mensili'!$J$3,IF('Oneri mensili'!$C$10=dropdowns!$B$185,IFERROR('Oneri mensili'!$J$3-K70,0),0)))))</f>
      </c>
      <c r="K70" s="81">
        <f ca="1">IF($B69="","",IF($B69+1&gt;'Oneri mensili'!$C$4,"",G70*I70*'Oneri mensili'!$C$8))</f>
      </c>
      <c r="L70" s="81">
        <f t="shared" ca="1" si="2"/>
      </c>
      <c r="M70" s="81">
        <f t="shared" ca="1" si="0"/>
      </c>
      <c r="N70" s="80"/>
      <c r="O70" s="82">
        <f>IF($B70="","",'Oneri mensili'!$C$8)</f>
      </c>
      <c r="P70" s="82">
        <f>IF($B70="","",'Oneri mensili'!$C$8*(POWER(1+'Oneri mensili'!$C$8,$B70-1+1)))</f>
      </c>
      <c r="Q70" s="82">
        <f t="shared" ca="1" si="3"/>
      </c>
      <c r="R70" s="80"/>
      <c r="S70" s="81">
        <f t="shared" ca="1" si="1"/>
      </c>
      <c r="T70" s="81">
        <f ca="1">IF(S70="","",J70/(POWER(1+'Oneri mensili'!$C$8,$B70-1+1)))</f>
      </c>
      <c r="U70" s="83">
        <f t="shared" ca="1" si="4"/>
      </c>
      <c r="V70" s="81">
        <f ca="1">IF($B70="","",K70/(POWER(1+'Oneri mensili'!$C$8,$B70-1+1)))</f>
      </c>
      <c r="W70" s="80"/>
    </row>
    <row r="71" spans="1:25" s="85" customFormat="1">
      <c r="A71" s="76"/>
      <c r="B71" s="77">
        <f>IF($B70="","",IF($B70+1&gt;'Oneri mensili'!$C$4,"",Schema!B70+1))</f>
      </c>
      <c r="C71" s="78">
        <f ca="1">IF($B70="","",IF($B70+1&gt;'Oneri mensili'!$C$4,"",EOMONTH(C70,0)+1))</f>
      </c>
      <c r="D71" s="76"/>
      <c r="E71" s="78">
        <f ca="1">IF($B70="","",IF($B70+1&gt;'Oneri mensili'!$C$4,"",F70+1))</f>
      </c>
      <c r="F71" s="78">
        <f ca="1">IF($B70="","",IF($B70+1&gt;'Oneri mensili'!$C$4,"",EOMONTH(E71,0)))</f>
      </c>
      <c r="G71" s="79">
        <f ca="1">IF($B70="","",IF($B70+1&gt;'Oneri mensili'!$C$4,"",(F71-E71)+1)/DAY(F71))</f>
      </c>
      <c r="H71" s="80"/>
      <c r="I71" s="81">
        <f ca="1">IF($B70="","",IF($B70+1&gt;'Oneri mensili'!$C$4,"",I70-J70))</f>
      </c>
      <c r="J71" s="81">
        <f ca="1">IF($B70="","",IF($B70+1&gt;'Oneri mensili'!$C$4,"",IF(B70&lt;'Oneri mensili'!$C$11-1,0,IF('Oneri mensili'!$C$10=dropdowns!$B$186,'Oneri mensili'!$J$3,IF('Oneri mensili'!$C$10=dropdowns!$B$185,IFERROR('Oneri mensili'!$J$3-K71,0),0)))))</f>
      </c>
      <c r="K71" s="81">
        <f ca="1">IF($B70="","",IF($B70+1&gt;'Oneri mensili'!$C$4,"",G71*I71*'Oneri mensili'!$C$8))</f>
      </c>
      <c r="L71" s="81">
        <f t="shared" ca="1" si="2"/>
      </c>
      <c r="M71" s="81">
        <f t="shared" ca="1" si="0"/>
      </c>
      <c r="N71" s="80"/>
      <c r="O71" s="82">
        <f>IF($B71="","",'Oneri mensili'!$C$8)</f>
      </c>
      <c r="P71" s="82">
        <f>IF($B71="","",'Oneri mensili'!$C$8*(POWER(1+'Oneri mensili'!$C$8,$B71-1+1)))</f>
      </c>
      <c r="Q71" s="82">
        <f t="shared" ca="1" si="3"/>
      </c>
      <c r="R71" s="80"/>
      <c r="S71" s="81">
        <f t="shared" ca="1" si="1"/>
      </c>
      <c r="T71" s="81">
        <f ca="1">IF(S71="","",J71/(POWER(1+'Oneri mensili'!$C$8,$B71-1+1)))</f>
      </c>
      <c r="U71" s="83">
        <f t="shared" ca="1" si="4"/>
      </c>
      <c r="V71" s="81">
        <f ca="1">IF($B71="","",K71/(POWER(1+'Oneri mensili'!$C$8,$B71-1+1)))</f>
      </c>
      <c r="W71" s="80"/>
    </row>
    <row r="72" spans="1:25" s="85" customFormat="1">
      <c r="A72" s="76"/>
      <c r="B72" s="77">
        <f>IF($B71="","",IF($B71+1&gt;'Oneri mensili'!$C$4,"",Schema!B71+1))</f>
      </c>
      <c r="C72" s="78">
        <f ca="1">IF($B71="","",IF($B71+1&gt;'Oneri mensili'!$C$4,"",EOMONTH(C71,0)+1))</f>
      </c>
      <c r="D72" s="76"/>
      <c r="E72" s="78">
        <f ca="1">IF($B71="","",IF($B71+1&gt;'Oneri mensili'!$C$4,"",F71+1))</f>
      </c>
      <c r="F72" s="78">
        <f ca="1">IF($B71="","",IF($B71+1&gt;'Oneri mensili'!$C$4,"",EOMONTH(E72,0)))</f>
      </c>
      <c r="G72" s="79">
        <f ca="1">IF($B71="","",IF($B71+1&gt;'Oneri mensili'!$C$4,"",(F72-E72)+1)/DAY(F72))</f>
      </c>
      <c r="H72" s="80"/>
      <c r="I72" s="81">
        <f ca="1">IF($B71="","",IF($B71+1&gt;'Oneri mensili'!$C$4,"",I71-J71))</f>
      </c>
      <c r="J72" s="81">
        <f ca="1">IF($B71="","",IF($B71+1&gt;'Oneri mensili'!$C$4,"",IF(B71&lt;'Oneri mensili'!$C$11-1,0,IF('Oneri mensili'!$C$10=dropdowns!$B$186,'Oneri mensili'!$J$3,IF('Oneri mensili'!$C$10=dropdowns!$B$185,IFERROR('Oneri mensili'!$J$3-K72,0),0)))))</f>
      </c>
      <c r="K72" s="81">
        <f ca="1">IF($B71="","",IF($B71+1&gt;'Oneri mensili'!$C$4,"",G72*I72*'Oneri mensili'!$C$8))</f>
      </c>
      <c r="L72" s="81">
        <f t="shared" ca="1" si="2"/>
      </c>
      <c r="M72" s="81">
        <f t="shared" ca="1" si="0"/>
      </c>
      <c r="N72" s="80"/>
      <c r="O72" s="82">
        <f>IF($B72="","",'Oneri mensili'!$C$8)</f>
      </c>
      <c r="P72" s="82">
        <f>IF($B72="","",'Oneri mensili'!$C$8*(POWER(1+'Oneri mensili'!$C$8,$B72-1+1)))</f>
      </c>
      <c r="Q72" s="82">
        <f t="shared" ca="1" si="3"/>
      </c>
      <c r="R72" s="80"/>
      <c r="S72" s="81">
        <f t="shared" ca="1" si="1"/>
      </c>
      <c r="T72" s="81">
        <f ca="1">IF(S72="","",J72/(POWER(1+'Oneri mensili'!$C$8,$B72-1+1)))</f>
      </c>
      <c r="U72" s="83">
        <f t="shared" ca="1" si="4"/>
      </c>
      <c r="V72" s="81">
        <f ca="1">IF($B72="","",K72/(POWER(1+'Oneri mensili'!$C$8,$B72-1+1)))</f>
      </c>
      <c r="W72" s="80"/>
    </row>
    <row r="73" spans="1:25" s="85" customFormat="1">
      <c r="A73" s="76"/>
      <c r="B73" s="77">
        <f>IF($B72="","",IF($B72+1&gt;'Oneri mensili'!$C$4,"",Schema!B72+1))</f>
      </c>
      <c r="C73" s="78">
        <f ca="1">IF($B72="","",IF($B72+1&gt;'Oneri mensili'!$C$4,"",EOMONTH(C72,0)+1))</f>
      </c>
      <c r="D73" s="76"/>
      <c r="E73" s="78">
        <f ca="1">IF($B72="","",IF($B72+1&gt;'Oneri mensili'!$C$4,"",F72+1))</f>
      </c>
      <c r="F73" s="78">
        <f ca="1">IF($B72="","",IF($B72+1&gt;'Oneri mensili'!$C$4,"",EOMONTH(E73,0)))</f>
      </c>
      <c r="G73" s="79">
        <f ca="1">IF($B72="","",IF($B72+1&gt;'Oneri mensili'!$C$4,"",(F73-E73)+1)/DAY(F73))</f>
      </c>
      <c r="H73" s="80"/>
      <c r="I73" s="81">
        <f ca="1">IF($B72="","",IF($B72+1&gt;'Oneri mensili'!$C$4,"",I72-J72))</f>
      </c>
      <c r="J73" s="81">
        <f ca="1">IF($B72="","",IF($B72+1&gt;'Oneri mensili'!$C$4,"",IF(B72&lt;'Oneri mensili'!$C$11-1,0,IF('Oneri mensili'!$C$10=dropdowns!$B$186,'Oneri mensili'!$J$3,IF('Oneri mensili'!$C$10=dropdowns!$B$185,IFERROR('Oneri mensili'!$J$3-K73,0),0)))))</f>
      </c>
      <c r="K73" s="81">
        <f ca="1">IF($B72="","",IF($B72+1&gt;'Oneri mensili'!$C$4,"",G73*I73*'Oneri mensili'!$C$8))</f>
      </c>
      <c r="L73" s="81">
        <f t="shared" ca="1" si="2"/>
      </c>
      <c r="M73" s="81">
        <f t="shared" ca="1" si="0"/>
      </c>
      <c r="N73" s="80"/>
      <c r="O73" s="82">
        <f>IF($B73="","",'Oneri mensili'!$C$8)</f>
      </c>
      <c r="P73" s="82">
        <f>IF($B73="","",'Oneri mensili'!$C$8*(POWER(1+'Oneri mensili'!$C$8,$B73-1+1)))</f>
      </c>
      <c r="Q73" s="82">
        <f t="shared" ca="1" si="3"/>
      </c>
      <c r="R73" s="80"/>
      <c r="S73" s="81">
        <f t="shared" ca="1" si="1"/>
      </c>
      <c r="T73" s="81">
        <f ca="1">IF(S73="","",J73/(POWER(1+'Oneri mensili'!$C$8,$B73-1+1)))</f>
      </c>
      <c r="U73" s="83">
        <f t="shared" ca="1" si="4"/>
      </c>
      <c r="V73" s="81">
        <f ca="1">IF($B73="","",K73/(POWER(1+'Oneri mensili'!$C$8,$B73-1+1)))</f>
      </c>
      <c r="W73" s="80"/>
    </row>
    <row r="74" spans="1:25" s="85" customFormat="1">
      <c r="A74" s="76"/>
      <c r="B74" s="77">
        <f>IF($B73="","",IF($B73+1&gt;'Oneri mensili'!$C$4,"",Schema!B73+1))</f>
      </c>
      <c r="C74" s="78">
        <f ca="1">IF($B73="","",IF($B73+1&gt;'Oneri mensili'!$C$4,"",EOMONTH(C73,0)+1))</f>
      </c>
      <c r="D74" s="76"/>
      <c r="E74" s="78">
        <f ca="1">IF($B73="","",IF($B73+1&gt;'Oneri mensili'!$C$4,"",F73+1))</f>
      </c>
      <c r="F74" s="78">
        <f ca="1">IF($B73="","",IF($B73+1&gt;'Oneri mensili'!$C$4,"",EOMONTH(E74,0)))</f>
      </c>
      <c r="G74" s="79">
        <f ca="1">IF($B73="","",IF($B73+1&gt;'Oneri mensili'!$C$4,"",(F74-E74)+1)/DAY(F74))</f>
      </c>
      <c r="H74" s="80"/>
      <c r="I74" s="81">
        <f ca="1">IF($B73="","",IF($B73+1&gt;'Oneri mensili'!$C$4,"",I73-J73))</f>
      </c>
      <c r="J74" s="81">
        <f ca="1">IF($B73="","",IF($B73+1&gt;'Oneri mensili'!$C$4,"",IF(B73&lt;'Oneri mensili'!$C$11-1,0,IF('Oneri mensili'!$C$10=dropdowns!$B$186,'Oneri mensili'!$J$3,IF('Oneri mensili'!$C$10=dropdowns!$B$185,IFERROR('Oneri mensili'!$J$3-K74,0),0)))))</f>
      </c>
      <c r="K74" s="81">
        <f ca="1">IF($B73="","",IF($B73+1&gt;'Oneri mensili'!$C$4,"",G74*I74*'Oneri mensili'!$C$8))</f>
      </c>
      <c r="L74" s="81">
        <f t="shared" ca="1" si="2"/>
      </c>
      <c r="M74" s="81">
        <f t="shared" ref="M74:M137" ca="1" si="5">IF(S74="","",-K74-J74)</f>
      </c>
      <c r="N74" s="80"/>
      <c r="O74" s="82">
        <f>IF($B74="","",'Oneri mensili'!$C$8)</f>
      </c>
      <c r="P74" s="82">
        <f>IF($B74="","",'Oneri mensili'!$C$8*(POWER(1+'Oneri mensili'!$C$8,$B74-1+1)))</f>
      </c>
      <c r="Q74" s="82">
        <f t="shared" ca="1" si="3"/>
      </c>
      <c r="R74" s="80"/>
      <c r="S74" s="81">
        <f t="shared" ref="S74:S137" ca="1" si="6">IF(B74="","",IF(S73-T73&lt;0,"",S73-T73))</f>
      </c>
      <c r="T74" s="81">
        <f ca="1">IF(S74="","",J74/(POWER(1+'Oneri mensili'!$C$8,$B74-1+1)))</f>
      </c>
      <c r="U74" s="83">
        <f t="shared" ca="1" si="4"/>
      </c>
      <c r="V74" s="81">
        <f ca="1">IF($B74="","",K74/(POWER(1+'Oneri mensili'!$C$8,$B74-1+1)))</f>
      </c>
      <c r="W74" s="80"/>
    </row>
    <row r="75" spans="1:25" s="85" customFormat="1">
      <c r="A75" s="76"/>
      <c r="B75" s="77">
        <f>IF($B74="","",IF($B74+1&gt;'Oneri mensili'!$C$4,"",Schema!B74+1))</f>
      </c>
      <c r="C75" s="78">
        <f ca="1">IF($B74="","",IF($B74+1&gt;'Oneri mensili'!$C$4,"",EOMONTH(C74,0)+1))</f>
      </c>
      <c r="D75" s="76"/>
      <c r="E75" s="78">
        <f ca="1">IF($B74="","",IF($B74+1&gt;'Oneri mensili'!$C$4,"",F74+1))</f>
      </c>
      <c r="F75" s="78">
        <f ca="1">IF($B74="","",IF($B74+1&gt;'Oneri mensili'!$C$4,"",EOMONTH(E75,0)))</f>
      </c>
      <c r="G75" s="79">
        <f ca="1">IF($B74="","",IF($B74+1&gt;'Oneri mensili'!$C$4,"",(F75-E75)+1)/DAY(F75))</f>
      </c>
      <c r="H75" s="80"/>
      <c r="I75" s="81">
        <f ca="1">IF($B74="","",IF($B74+1&gt;'Oneri mensili'!$C$4,"",I74-J74))</f>
      </c>
      <c r="J75" s="81">
        <f ca="1">IF($B74="","",IF($B74+1&gt;'Oneri mensili'!$C$4,"",IF(B74&lt;'Oneri mensili'!$C$11-1,0,IF('Oneri mensili'!$C$10=dropdowns!$B$186,'Oneri mensili'!$J$3,IF('Oneri mensili'!$C$10=dropdowns!$B$185,IFERROR('Oneri mensili'!$J$3-K75,0),0)))))</f>
      </c>
      <c r="K75" s="81">
        <f ca="1">IF($B74="","",IF($B74+1&gt;'Oneri mensili'!$C$4,"",G75*I75*'Oneri mensili'!$C$8))</f>
      </c>
      <c r="L75" s="81">
        <f t="shared" ref="L75:L138" ca="1" si="7">IF(S75="","",-K75-J75)</f>
      </c>
      <c r="M75" s="81">
        <f t="shared" ca="1" si="5"/>
      </c>
      <c r="N75" s="80"/>
      <c r="O75" s="82">
        <f>IF($B75="","",'Oneri mensili'!$C$8)</f>
      </c>
      <c r="P75" s="82">
        <f>IF($B75="","",'Oneri mensili'!$C$8*(POWER(1+'Oneri mensili'!$C$8,$B75-1+1)))</f>
      </c>
      <c r="Q75" s="82">
        <f t="shared" ref="Q75:Q138" ca="1" si="8">IF($B75="","",IFERROR(J75/T75-1,0))</f>
      </c>
      <c r="R75" s="80"/>
      <c r="S75" s="81">
        <f t="shared" ca="1" si="6"/>
      </c>
      <c r="T75" s="81">
        <f ca="1">IF(S75="","",J75/(POWER(1+'Oneri mensili'!$C$8,$B75-1+1)))</f>
      </c>
      <c r="U75" s="83">
        <f t="shared" ref="U75:U138" ca="1" si="9">IF(S75="","",T75+V75)</f>
      </c>
      <c r="V75" s="81">
        <f ca="1">IF($B75="","",K75/(POWER(1+'Oneri mensili'!$C$8,$B75-1+1)))</f>
      </c>
      <c r="W75" s="80"/>
    </row>
    <row r="76" spans="1:25" s="85" customFormat="1">
      <c r="A76" s="76"/>
      <c r="B76" s="77" t="str">
        <f>IF($B75="","",IF($B75+1&gt;'Oneri mensili'!$C$4,"",Schema!B75+1))</f>
      </c>
      <c r="C76" s="78" t="str">
        <f>IF($B75="","",IF($B75+1&gt;'Oneri mensili'!$C$4,"",EOMONTH(C75,0)+1))</f>
      </c>
      <c r="D76" s="76"/>
      <c r="E76" s="78" t="str">
        <f>IF($B75="","",IF($B75+1&gt;'Oneri mensili'!$C$4,"",F75+1))</f>
      </c>
      <c r="F76" s="78" t="str">
        <f>IF($B75="","",IF($B75+1&gt;'Oneri mensili'!$C$4,"",EOMONTH(E76,0)))</f>
      </c>
      <c r="G76" s="79" t="e">
        <f>IF($B75="","",IF($B75+1&gt;'Oneri mensili'!$C$4,"",(F76-E76)+1)/DAY(F76))</f>
      </c>
      <c r="H76" s="80"/>
      <c r="I76" s="81" t="str">
        <f>IF($B75="","",IF($B75+1&gt;'Oneri mensili'!$C$4,"",I75-J75))</f>
      </c>
      <c r="J76" s="81" t="str">
        <f>IF($B75="","",IF($B75+1&gt;'Oneri mensili'!$C$4,"",IF(B75&lt;'Oneri mensili'!$C$11-1,0,IF('Oneri mensili'!$C$10=dropdowns!$B$186,'Oneri mensili'!$J$3,IF('Oneri mensili'!$C$10=dropdowns!$B$185,IFERROR('Oneri mensili'!$J$3-K76,0),0)))))</f>
      </c>
      <c r="K76" s="81" t="str">
        <f>IF($B75="","",IF($B75+1&gt;'Oneri mensili'!$C$4,"",G76*I76*'Oneri mensili'!$C$8))</f>
      </c>
      <c r="L76" s="81" t="str">
        <f t="shared" si="7"/>
      </c>
      <c r="M76" s="81" t="str">
        <f t="shared" si="5"/>
      </c>
      <c r="N76" s="80"/>
      <c r="O76" s="82" t="str">
        <f>IF($B76="","",'Oneri mensili'!$C$8)</f>
      </c>
      <c r="P76" s="82" t="str">
        <f>IF($B76="","",'Oneri mensili'!$C$8*(POWER(1+'Oneri mensili'!$C$8,$B76-1+1)))</f>
      </c>
      <c r="Q76" s="82" t="str">
        <f t="shared" si="8"/>
      </c>
      <c r="R76" s="80"/>
      <c r="S76" s="81" t="str">
        <f t="shared" si="6"/>
      </c>
      <c r="T76" s="81" t="str">
        <f>IF(S76="","",J76/(POWER(1+'Oneri mensili'!$C$8,$B76-1+1)))</f>
      </c>
      <c r="U76" s="83" t="str">
        <f t="shared" si="9"/>
      </c>
      <c r="V76" s="81" t="str">
        <f>IF($B76="","",K76/(POWER(1+'Oneri mensili'!$C$8,$B76-1+1)))</f>
      </c>
      <c r="W76" s="80"/>
    </row>
    <row r="77" spans="1:25" s="85" customFormat="1">
      <c r="A77" s="76"/>
      <c r="B77" s="77" t="str">
        <f>IF($B76="","",IF($B76+1&gt;'Oneri mensili'!$C$4,"",Schema!B76+1))</f>
      </c>
      <c r="C77" s="78" t="str">
        <f>IF($B76="","",IF($B76+1&gt;'Oneri mensili'!$C$4,"",EOMONTH(C76,0)+1))</f>
      </c>
      <c r="D77" s="76"/>
      <c r="E77" s="78" t="str">
        <f>IF($B76="","",IF($B76+1&gt;'Oneri mensili'!$C$4,"",F76+1))</f>
      </c>
      <c r="F77" s="78" t="str">
        <f>IF($B76="","",IF($B76+1&gt;'Oneri mensili'!$C$4,"",EOMONTH(E77,0)))</f>
      </c>
      <c r="G77" s="79" t="str">
        <f>IF($B76="","",IF($B76+1&gt;'Oneri mensili'!$C$4,"",(F77-E77)+1)/DAY(F77))</f>
      </c>
      <c r="H77" s="80"/>
      <c r="I77" s="81" t="str">
        <f>IF($B76="","",IF($B76+1&gt;'Oneri mensili'!$C$4,"",I76-J76))</f>
      </c>
      <c r="J77" s="81" t="str">
        <f>IF($B76="","",IF($B76+1&gt;'Oneri mensili'!$C$4,"",IF(B76&lt;'Oneri mensili'!$C$11-1,0,IF('Oneri mensili'!$C$10=dropdowns!$B$186,'Oneri mensili'!$J$3,IF('Oneri mensili'!$C$10=dropdowns!$B$185,IFERROR('Oneri mensili'!$J$3-K77,0),0)))))</f>
      </c>
      <c r="K77" s="81" t="str">
        <f>IF($B76="","",IF($B76+1&gt;'Oneri mensili'!$C$4,"",G77*I77*'Oneri mensili'!$C$8))</f>
      </c>
      <c r="L77" s="81" t="str">
        <f t="shared" si="7"/>
      </c>
      <c r="M77" s="81" t="str">
        <f t="shared" si="5"/>
      </c>
      <c r="N77" s="80"/>
      <c r="O77" s="82" t="str">
        <f>IF($B77="","",'Oneri mensili'!$C$8)</f>
      </c>
      <c r="P77" s="82" t="str">
        <f>IF($B77="","",'Oneri mensili'!$C$8*(POWER(1+'Oneri mensili'!$C$8,$B77-1+1)))</f>
      </c>
      <c r="Q77" s="82" t="str">
        <f t="shared" si="8"/>
      </c>
      <c r="R77" s="80"/>
      <c r="S77" s="81" t="str">
        <f t="shared" si="6"/>
      </c>
      <c r="T77" s="81" t="str">
        <f>IF(S77="","",J77/(POWER(1+'Oneri mensili'!$C$8,$B77-1+1)))</f>
      </c>
      <c r="U77" s="83" t="str">
        <f t="shared" si="9"/>
      </c>
      <c r="V77" s="81" t="str">
        <f>IF($B77="","",K77/(POWER(1+'Oneri mensili'!$C$8,$B77-1+1)))</f>
      </c>
      <c r="W77" s="80"/>
    </row>
    <row r="78" spans="1:25" s="85" customFormat="1">
      <c r="A78" s="76"/>
      <c r="B78" s="77" t="str">
        <f>IF($B77="","",IF($B77+1&gt;'Oneri mensili'!$C$4,"",Schema!B77+1))</f>
      </c>
      <c r="C78" s="78" t="str">
        <f>IF($B77="","",IF($B77+1&gt;'Oneri mensili'!$C$4,"",EOMONTH(C77,0)+1))</f>
      </c>
      <c r="D78" s="76"/>
      <c r="E78" s="78" t="str">
        <f>IF($B77="","",IF($B77+1&gt;'Oneri mensili'!$C$4,"",F77+1))</f>
      </c>
      <c r="F78" s="78" t="str">
        <f>IF($B77="","",IF($B77+1&gt;'Oneri mensili'!$C$4,"",EOMONTH(E78,0)))</f>
      </c>
      <c r="G78" s="79" t="str">
        <f>IF($B77="","",IF($B77+1&gt;'Oneri mensili'!$C$4,"",(F78-E78)+1)/DAY(F78))</f>
      </c>
      <c r="H78" s="80"/>
      <c r="I78" s="81" t="str">
        <f>IF($B77="","",IF($B77+1&gt;'Oneri mensili'!$C$4,"",I77-J77))</f>
      </c>
      <c r="J78" s="81" t="str">
        <f>IF($B77="","",IF($B77+1&gt;'Oneri mensili'!$C$4,"",IF(B77&lt;'Oneri mensili'!$C$11-1,0,IF('Oneri mensili'!$C$10=dropdowns!$B$186,'Oneri mensili'!$J$3,IF('Oneri mensili'!$C$10=dropdowns!$B$185,IFERROR('Oneri mensili'!$J$3-K78,0),0)))))</f>
      </c>
      <c r="K78" s="81" t="str">
        <f>IF($B77="","",IF($B77+1&gt;'Oneri mensili'!$C$4,"",G78*I78*'Oneri mensili'!$C$8))</f>
      </c>
      <c r="L78" s="81" t="str">
        <f t="shared" si="7"/>
      </c>
      <c r="M78" s="81" t="str">
        <f t="shared" si="5"/>
      </c>
      <c r="N78" s="80"/>
      <c r="O78" s="82" t="str">
        <f>IF($B78="","",'Oneri mensili'!$C$8)</f>
      </c>
      <c r="P78" s="82" t="str">
        <f>IF($B78="","",'Oneri mensili'!$C$8*(POWER(1+'Oneri mensili'!$C$8,$B78-1+1)))</f>
      </c>
      <c r="Q78" s="82" t="str">
        <f t="shared" si="8"/>
      </c>
      <c r="R78" s="80"/>
      <c r="S78" s="81" t="str">
        <f t="shared" si="6"/>
      </c>
      <c r="T78" s="81" t="str">
        <f>IF(S78="","",J78/(POWER(1+'Oneri mensili'!$C$8,$B78-1+1)))</f>
      </c>
      <c r="U78" s="83" t="str">
        <f t="shared" si="9"/>
      </c>
      <c r="V78" s="81" t="str">
        <f>IF($B78="","",K78/(POWER(1+'Oneri mensili'!$C$8,$B78-1+1)))</f>
      </c>
      <c r="W78" s="80"/>
    </row>
    <row r="79" spans="1:25" s="85" customFormat="1">
      <c r="A79" s="76"/>
      <c r="B79" s="77" t="str">
        <f>IF($B78="","",IF($B78+1&gt;'Oneri mensili'!$C$4,"",Schema!B78+1))</f>
      </c>
      <c r="C79" s="78" t="str">
        <f>IF($B78="","",IF($B78+1&gt;'Oneri mensili'!$C$4,"",EOMONTH(C78,0)+1))</f>
      </c>
      <c r="D79" s="76"/>
      <c r="E79" s="78" t="str">
        <f>IF($B78="","",IF($B78+1&gt;'Oneri mensili'!$C$4,"",F78+1))</f>
      </c>
      <c r="F79" s="78" t="str">
        <f>IF($B78="","",IF($B78+1&gt;'Oneri mensili'!$C$4,"",EOMONTH(E79,0)))</f>
      </c>
      <c r="G79" s="79" t="str">
        <f>IF($B78="","",IF($B78+1&gt;'Oneri mensili'!$C$4,"",(F79-E79)+1)/DAY(F79))</f>
      </c>
      <c r="H79" s="80"/>
      <c r="I79" s="81" t="str">
        <f>IF($B78="","",IF($B78+1&gt;'Oneri mensili'!$C$4,"",I78-J78))</f>
      </c>
      <c r="J79" s="81" t="str">
        <f>IF($B78="","",IF($B78+1&gt;'Oneri mensili'!$C$4,"",IF(B78&lt;'Oneri mensili'!$C$11-1,0,IF('Oneri mensili'!$C$10=dropdowns!$B$186,'Oneri mensili'!$J$3,IF('Oneri mensili'!$C$10=dropdowns!$B$185,IFERROR('Oneri mensili'!$J$3-K79,0),0)))))</f>
      </c>
      <c r="K79" s="81" t="str">
        <f>IF($B78="","",IF($B78+1&gt;'Oneri mensili'!$C$4,"",G79*I79*'Oneri mensili'!$C$8))</f>
      </c>
      <c r="L79" s="81" t="str">
        <f t="shared" si="7"/>
      </c>
      <c r="M79" s="81" t="str">
        <f t="shared" si="5"/>
      </c>
      <c r="N79" s="80"/>
      <c r="O79" s="82" t="str">
        <f>IF($B79="","",'Oneri mensili'!$C$8)</f>
      </c>
      <c r="P79" s="82" t="str">
        <f>IF($B79="","",'Oneri mensili'!$C$8*(POWER(1+'Oneri mensili'!$C$8,$B79-1+1)))</f>
      </c>
      <c r="Q79" s="82" t="str">
        <f t="shared" si="8"/>
      </c>
      <c r="R79" s="80"/>
      <c r="S79" s="81" t="str">
        <f t="shared" si="6"/>
      </c>
      <c r="T79" s="81" t="str">
        <f>IF(S79="","",J79/(POWER(1+'Oneri mensili'!$C$8,$B79-1+1)))</f>
      </c>
      <c r="U79" s="83" t="str">
        <f t="shared" si="9"/>
      </c>
      <c r="V79" s="81" t="str">
        <f>IF($B79="","",K79/(POWER(1+'Oneri mensili'!$C$8,$B79-1+1)))</f>
      </c>
      <c r="W79" s="80"/>
    </row>
    <row r="80" spans="1:25" s="85" customFormat="1">
      <c r="A80" s="76"/>
      <c r="B80" s="77" t="str">
        <f>IF($B79="","",IF($B79+1&gt;'Oneri mensili'!$C$4,"",Schema!B79+1))</f>
      </c>
      <c r="C80" s="78" t="str">
        <f>IF($B79="","",IF($B79+1&gt;'Oneri mensili'!$C$4,"",EOMONTH(C79,0)+1))</f>
      </c>
      <c r="D80" s="76"/>
      <c r="E80" s="78" t="str">
        <f>IF($B79="","",IF($B79+1&gt;'Oneri mensili'!$C$4,"",F79+1))</f>
      </c>
      <c r="F80" s="78" t="str">
        <f>IF($B79="","",IF($B79+1&gt;'Oneri mensili'!$C$4,"",EOMONTH(E80,0)))</f>
      </c>
      <c r="G80" s="79" t="str">
        <f>IF($B79="","",IF($B79+1&gt;'Oneri mensili'!$C$4,"",(F80-E80)+1)/DAY(F80))</f>
      </c>
      <c r="H80" s="80"/>
      <c r="I80" s="81" t="str">
        <f>IF($B79="","",IF($B79+1&gt;'Oneri mensili'!$C$4,"",I79-J79))</f>
      </c>
      <c r="J80" s="81" t="str">
        <f>IF($B79="","",IF($B79+1&gt;'Oneri mensili'!$C$4,"",IF(B79&lt;'Oneri mensili'!$C$11-1,0,IF('Oneri mensili'!$C$10=dropdowns!$B$186,'Oneri mensili'!$J$3,IF('Oneri mensili'!$C$10=dropdowns!$B$185,IFERROR('Oneri mensili'!$J$3-K80,0),0)))))</f>
      </c>
      <c r="K80" s="81" t="str">
        <f>IF($B79="","",IF($B79+1&gt;'Oneri mensili'!$C$4,"",G80*I80*'Oneri mensili'!$C$8))</f>
      </c>
      <c r="L80" s="81" t="str">
        <f t="shared" si="7"/>
      </c>
      <c r="M80" s="81" t="str">
        <f t="shared" si="5"/>
      </c>
      <c r="N80" s="80"/>
      <c r="O80" s="82" t="str">
        <f>IF($B80="","",'Oneri mensili'!$C$8)</f>
      </c>
      <c r="P80" s="82" t="str">
        <f>IF($B80="","",'Oneri mensili'!$C$8*(POWER(1+'Oneri mensili'!$C$8,$B80-1+1)))</f>
      </c>
      <c r="Q80" s="82" t="str">
        <f t="shared" si="8"/>
      </c>
      <c r="R80" s="80"/>
      <c r="S80" s="81" t="str">
        <f t="shared" si="6"/>
      </c>
      <c r="T80" s="81" t="str">
        <f>IF(S80="","",J80/(POWER(1+'Oneri mensili'!$C$8,$B80-1+1)))</f>
      </c>
      <c r="U80" s="83" t="str">
        <f t="shared" si="9"/>
      </c>
      <c r="V80" s="81" t="str">
        <f>IF($B80="","",K80/(POWER(1+'Oneri mensili'!$C$8,$B80-1+1)))</f>
      </c>
      <c r="W80" s="80"/>
    </row>
    <row r="81" spans="1:23" s="85" customFormat="1">
      <c r="A81" s="76"/>
      <c r="B81" s="77" t="str">
        <f>IF($B80="","",IF($B80+1&gt;'Oneri mensili'!$C$4,"",Schema!B80+1))</f>
      </c>
      <c r="C81" s="78" t="str">
        <f>IF($B80="","",IF($B80+1&gt;'Oneri mensili'!$C$4,"",EOMONTH(C80,0)+1))</f>
      </c>
      <c r="D81" s="76"/>
      <c r="E81" s="78" t="str">
        <f>IF($B80="","",IF($B80+1&gt;'Oneri mensili'!$C$4,"",F80+1))</f>
      </c>
      <c r="F81" s="78" t="str">
        <f>IF($B80="","",IF($B80+1&gt;'Oneri mensili'!$C$4,"",EOMONTH(E81,0)))</f>
      </c>
      <c r="G81" s="79" t="str">
        <f>IF($B80="","",IF($B80+1&gt;'Oneri mensili'!$C$4,"",(F81-E81)+1)/DAY(F81))</f>
      </c>
      <c r="H81" s="80"/>
      <c r="I81" s="81" t="str">
        <f>IF($B80="","",IF($B80+1&gt;'Oneri mensili'!$C$4,"",I80-J80))</f>
      </c>
      <c r="J81" s="81" t="str">
        <f>IF($B80="","",IF($B80+1&gt;'Oneri mensili'!$C$4,"",IF(B80&lt;'Oneri mensili'!$C$11-1,0,IF('Oneri mensili'!$C$10=dropdowns!$B$186,'Oneri mensili'!$J$3,IF('Oneri mensili'!$C$10=dropdowns!$B$185,IFERROR('Oneri mensili'!$J$3-K81,0),0)))))</f>
      </c>
      <c r="K81" s="81" t="str">
        <f>IF($B80="","",IF($B80+1&gt;'Oneri mensili'!$C$4,"",G81*I81*'Oneri mensili'!$C$8))</f>
      </c>
      <c r="L81" s="81" t="str">
        <f t="shared" si="7"/>
      </c>
      <c r="M81" s="81" t="str">
        <f t="shared" si="5"/>
      </c>
      <c r="N81" s="80"/>
      <c r="O81" s="82" t="str">
        <f>IF($B81="","",'Oneri mensili'!$C$8)</f>
      </c>
      <c r="P81" s="82" t="str">
        <f>IF($B81="","",'Oneri mensili'!$C$8*(POWER(1+'Oneri mensili'!$C$8,$B81-1+1)))</f>
      </c>
      <c r="Q81" s="82" t="str">
        <f t="shared" si="8"/>
      </c>
      <c r="R81" s="80"/>
      <c r="S81" s="81" t="str">
        <f t="shared" si="6"/>
      </c>
      <c r="T81" s="81" t="str">
        <f>IF(S81="","",J81/(POWER(1+'Oneri mensili'!$C$8,$B81-1+1)))</f>
      </c>
      <c r="U81" s="83" t="str">
        <f t="shared" si="9"/>
      </c>
      <c r="V81" s="81" t="str">
        <f>IF($B81="","",K81/(POWER(1+'Oneri mensili'!$C$8,$B81-1+1)))</f>
      </c>
      <c r="W81" s="80"/>
    </row>
    <row r="82" spans="1:23" s="85" customFormat="1">
      <c r="A82" s="76"/>
      <c r="B82" s="77" t="str">
        <f>IF($B81="","",IF($B81+1&gt;'Oneri mensili'!$C$4,"",Schema!B81+1))</f>
      </c>
      <c r="C82" s="78" t="str">
        <f>IF($B81="","",IF($B81+1&gt;'Oneri mensili'!$C$4,"",EOMONTH(C81,0)+1))</f>
      </c>
      <c r="D82" s="76"/>
      <c r="E82" s="78" t="str">
        <f>IF($B81="","",IF($B81+1&gt;'Oneri mensili'!$C$4,"",F81+1))</f>
      </c>
      <c r="F82" s="78" t="str">
        <f>IF($B81="","",IF($B81+1&gt;'Oneri mensili'!$C$4,"",EOMONTH(E82,0)))</f>
      </c>
      <c r="G82" s="79" t="str">
        <f>IF($B81="","",IF($B81+1&gt;'Oneri mensili'!$C$4,"",(F82-E82)+1)/DAY(F82))</f>
      </c>
      <c r="H82" s="80"/>
      <c r="I82" s="81" t="str">
        <f>IF($B81="","",IF($B81+1&gt;'Oneri mensili'!$C$4,"",I81-J81))</f>
      </c>
      <c r="J82" s="81" t="str">
        <f>IF($B81="","",IF($B81+1&gt;'Oneri mensili'!$C$4,"",IF(B81&lt;'Oneri mensili'!$C$11-1,0,IF('Oneri mensili'!$C$10=dropdowns!$B$186,'Oneri mensili'!$J$3,IF('Oneri mensili'!$C$10=dropdowns!$B$185,IFERROR('Oneri mensili'!$J$3-K82,0),0)))))</f>
      </c>
      <c r="K82" s="81" t="str">
        <f>IF($B81="","",IF($B81+1&gt;'Oneri mensili'!$C$4,"",G82*I82*'Oneri mensili'!$C$8))</f>
      </c>
      <c r="L82" s="81" t="str">
        <f t="shared" si="7"/>
      </c>
      <c r="M82" s="81" t="str">
        <f t="shared" si="5"/>
      </c>
      <c r="N82" s="80"/>
      <c r="O82" s="82" t="str">
        <f>IF($B82="","",'Oneri mensili'!$C$8)</f>
      </c>
      <c r="P82" s="82" t="str">
        <f>IF($B82="","",'Oneri mensili'!$C$8*(POWER(1+'Oneri mensili'!$C$8,$B82-1+1)))</f>
      </c>
      <c r="Q82" s="82" t="str">
        <f t="shared" si="8"/>
      </c>
      <c r="R82" s="80"/>
      <c r="S82" s="81" t="str">
        <f t="shared" si="6"/>
      </c>
      <c r="T82" s="81" t="str">
        <f>IF(S82="","",J82/(POWER(1+'Oneri mensili'!$C$8,$B82-1+1)))</f>
      </c>
      <c r="U82" s="83" t="str">
        <f t="shared" si="9"/>
      </c>
      <c r="V82" s="81" t="str">
        <f>IF($B82="","",K82/(POWER(1+'Oneri mensili'!$C$8,$B82-1+1)))</f>
      </c>
      <c r="W82" s="80"/>
    </row>
    <row r="83" spans="1:23" s="85" customFormat="1">
      <c r="A83" s="76"/>
      <c r="B83" s="77" t="str">
        <f>IF($B82="","",IF($B82+1&gt;'Oneri mensili'!$C$4,"",Schema!B82+1))</f>
      </c>
      <c r="C83" s="78" t="str">
        <f>IF($B82="","",IF($B82+1&gt;'Oneri mensili'!$C$4,"",EOMONTH(C82,0)+1))</f>
      </c>
      <c r="D83" s="76"/>
      <c r="E83" s="78" t="str">
        <f>IF($B82="","",IF($B82+1&gt;'Oneri mensili'!$C$4,"",F82+1))</f>
      </c>
      <c r="F83" s="78" t="str">
        <f>IF($B82="","",IF($B82+1&gt;'Oneri mensili'!$C$4,"",EOMONTH(E83,0)))</f>
      </c>
      <c r="G83" s="79" t="str">
        <f>IF($B82="","",IF($B82+1&gt;'Oneri mensili'!$C$4,"",(F83-E83)+1)/DAY(F83))</f>
      </c>
      <c r="H83" s="80"/>
      <c r="I83" s="81" t="str">
        <f>IF($B82="","",IF($B82+1&gt;'Oneri mensili'!$C$4,"",I82-J82))</f>
      </c>
      <c r="J83" s="81" t="str">
        <f>IF($B82="","",IF($B82+1&gt;'Oneri mensili'!$C$4,"",IF(B82&lt;'Oneri mensili'!$C$11-1,0,IF('Oneri mensili'!$C$10=dropdowns!$B$186,'Oneri mensili'!$J$3,IF('Oneri mensili'!$C$10=dropdowns!$B$185,IFERROR('Oneri mensili'!$J$3-K83,0),0)))))</f>
      </c>
      <c r="K83" s="81" t="str">
        <f>IF($B82="","",IF($B82+1&gt;'Oneri mensili'!$C$4,"",G83*I83*'Oneri mensili'!$C$8))</f>
      </c>
      <c r="L83" s="81" t="str">
        <f t="shared" si="7"/>
      </c>
      <c r="M83" s="81" t="str">
        <f t="shared" si="5"/>
      </c>
      <c r="N83" s="80"/>
      <c r="O83" s="82" t="str">
        <f>IF($B83="","",'Oneri mensili'!$C$8)</f>
      </c>
      <c r="P83" s="82" t="str">
        <f>IF($B83="","",'Oneri mensili'!$C$8*(POWER(1+'Oneri mensili'!$C$8,$B83-1+1)))</f>
      </c>
      <c r="Q83" s="82" t="str">
        <f t="shared" si="8"/>
      </c>
      <c r="R83" s="80"/>
      <c r="S83" s="81" t="str">
        <f t="shared" si="6"/>
      </c>
      <c r="T83" s="81" t="str">
        <f>IF(S83="","",J83/(POWER(1+'Oneri mensili'!$C$8,$B83-1+1)))</f>
      </c>
      <c r="U83" s="83" t="str">
        <f t="shared" si="9"/>
      </c>
      <c r="V83" s="81" t="str">
        <f>IF($B83="","",K83/(POWER(1+'Oneri mensili'!$C$8,$B83-1+1)))</f>
      </c>
      <c r="W83" s="80"/>
    </row>
    <row r="84" spans="1:23" s="85" customFormat="1">
      <c r="A84" s="76"/>
      <c r="B84" s="77" t="str">
        <f>IF($B83="","",IF($B83+1&gt;'Oneri mensili'!$C$4,"",Schema!B83+1))</f>
      </c>
      <c r="C84" s="78" t="str">
        <f>IF($B83="","",IF($B83+1&gt;'Oneri mensili'!$C$4,"",EOMONTH(C83,0)+1))</f>
      </c>
      <c r="D84" s="76"/>
      <c r="E84" s="78" t="str">
        <f>IF($B83="","",IF($B83+1&gt;'Oneri mensili'!$C$4,"",F83+1))</f>
      </c>
      <c r="F84" s="78" t="str">
        <f>IF($B83="","",IF($B83+1&gt;'Oneri mensili'!$C$4,"",EOMONTH(E84,0)))</f>
      </c>
      <c r="G84" s="79" t="str">
        <f>IF($B83="","",IF($B83+1&gt;'Oneri mensili'!$C$4,"",(F84-E84)+1)/DAY(F84))</f>
      </c>
      <c r="H84" s="80"/>
      <c r="I84" s="81" t="str">
        <f>IF($B83="","",IF($B83+1&gt;'Oneri mensili'!$C$4,"",I83-J83))</f>
      </c>
      <c r="J84" s="81" t="str">
        <f>IF($B83="","",IF($B83+1&gt;'Oneri mensili'!$C$4,"",IF(B83&lt;'Oneri mensili'!$C$11-1,0,IF('Oneri mensili'!$C$10=dropdowns!$B$186,'Oneri mensili'!$J$3,IF('Oneri mensili'!$C$10=dropdowns!$B$185,IFERROR('Oneri mensili'!$J$3-K84,0),0)))))</f>
      </c>
      <c r="K84" s="81" t="str">
        <f>IF($B83="","",IF($B83+1&gt;'Oneri mensili'!$C$4,"",G84*I84*'Oneri mensili'!$C$8))</f>
      </c>
      <c r="L84" s="81" t="str">
        <f t="shared" si="7"/>
      </c>
      <c r="M84" s="81" t="str">
        <f t="shared" si="5"/>
      </c>
      <c r="N84" s="80"/>
      <c r="O84" s="82" t="str">
        <f>IF($B84="","",'Oneri mensili'!$C$8)</f>
      </c>
      <c r="P84" s="82" t="str">
        <f>IF($B84="","",'Oneri mensili'!$C$8*(POWER(1+'Oneri mensili'!$C$8,$B84-1+1)))</f>
      </c>
      <c r="Q84" s="82" t="str">
        <f t="shared" si="8"/>
      </c>
      <c r="R84" s="80"/>
      <c r="S84" s="81" t="str">
        <f t="shared" si="6"/>
      </c>
      <c r="T84" s="81" t="str">
        <f>IF(S84="","",J84/(POWER(1+'Oneri mensili'!$C$8,$B84-1+1)))</f>
      </c>
      <c r="U84" s="83" t="str">
        <f t="shared" si="9"/>
      </c>
      <c r="V84" s="81" t="str">
        <f>IF($B84="","",K84/(POWER(1+'Oneri mensili'!$C$8,$B84-1+1)))</f>
      </c>
      <c r="W84" s="80"/>
    </row>
    <row r="85" spans="1:23" s="85" customFormat="1">
      <c r="A85" s="76"/>
      <c r="B85" s="77" t="str">
        <f>IF($B84="","",IF($B84+1&gt;'Oneri mensili'!$C$4,"",Schema!B84+1))</f>
      </c>
      <c r="C85" s="78" t="str">
        <f>IF($B84="","",IF($B84+1&gt;'Oneri mensili'!$C$4,"",EOMONTH(C84,0)+1))</f>
      </c>
      <c r="D85" s="76"/>
      <c r="E85" s="78" t="str">
        <f>IF($B84="","",IF($B84+1&gt;'Oneri mensili'!$C$4,"",F84+1))</f>
      </c>
      <c r="F85" s="78" t="str">
        <f>IF($B84="","",IF($B84+1&gt;'Oneri mensili'!$C$4,"",EOMONTH(E85,0)))</f>
      </c>
      <c r="G85" s="79" t="str">
        <f>IF($B84="","",IF($B84+1&gt;'Oneri mensili'!$C$4,"",(F85-E85)+1)/DAY(F85))</f>
      </c>
      <c r="H85" s="80"/>
      <c r="I85" s="81" t="str">
        <f>IF($B84="","",IF($B84+1&gt;'Oneri mensili'!$C$4,"",I84-J84))</f>
      </c>
      <c r="J85" s="81" t="str">
        <f>IF($B84="","",IF($B84+1&gt;'Oneri mensili'!$C$4,"",IF(B84&lt;'Oneri mensili'!$C$11-1,0,IF('Oneri mensili'!$C$10=dropdowns!$B$186,'Oneri mensili'!$J$3,IF('Oneri mensili'!$C$10=dropdowns!$B$185,IFERROR('Oneri mensili'!$J$3-K85,0),0)))))</f>
      </c>
      <c r="K85" s="81" t="str">
        <f>IF($B84="","",IF($B84+1&gt;'Oneri mensili'!$C$4,"",G85*I85*'Oneri mensili'!$C$8))</f>
      </c>
      <c r="L85" s="81" t="str">
        <f t="shared" si="7"/>
      </c>
      <c r="M85" s="81" t="str">
        <f t="shared" si="5"/>
      </c>
      <c r="N85" s="80"/>
      <c r="O85" s="82" t="str">
        <f>IF($B85="","",'Oneri mensili'!$C$8)</f>
      </c>
      <c r="P85" s="82" t="str">
        <f>IF($B85="","",'Oneri mensili'!$C$8*(POWER(1+'Oneri mensili'!$C$8,$B85-1+1)))</f>
      </c>
      <c r="Q85" s="82" t="str">
        <f t="shared" si="8"/>
      </c>
      <c r="R85" s="80"/>
      <c r="S85" s="81" t="str">
        <f t="shared" si="6"/>
      </c>
      <c r="T85" s="81" t="str">
        <f>IF(S85="","",J85/(POWER(1+'Oneri mensili'!$C$8,$B85-1+1)))</f>
      </c>
      <c r="U85" s="83" t="str">
        <f t="shared" si="9"/>
      </c>
      <c r="V85" s="81" t="str">
        <f>IF($B85="","",K85/(POWER(1+'Oneri mensili'!$C$8,$B85-1+1)))</f>
      </c>
      <c r="W85" s="80"/>
    </row>
    <row r="86" spans="1:23" s="85" customFormat="1">
      <c r="A86" s="76"/>
      <c r="B86" s="77" t="str">
        <f>IF($B85="","",IF($B85+1&gt;'Oneri mensili'!$C$4,"",Schema!B85+1))</f>
      </c>
      <c r="C86" s="78" t="str">
        <f>IF($B85="","",IF($B85+1&gt;'Oneri mensili'!$C$4,"",EOMONTH(C85,0)+1))</f>
      </c>
      <c r="D86" s="76"/>
      <c r="E86" s="78" t="str">
        <f>IF($B85="","",IF($B85+1&gt;'Oneri mensili'!$C$4,"",F85+1))</f>
      </c>
      <c r="F86" s="78" t="str">
        <f>IF($B85="","",IF($B85+1&gt;'Oneri mensili'!$C$4,"",EOMONTH(E86,0)))</f>
      </c>
      <c r="G86" s="79" t="str">
        <f>IF($B85="","",IF($B85+1&gt;'Oneri mensili'!$C$4,"",(F86-E86)+1)/DAY(F86))</f>
      </c>
      <c r="H86" s="80"/>
      <c r="I86" s="81" t="str">
        <f>IF($B85="","",IF($B85+1&gt;'Oneri mensili'!$C$4,"",I85-J85))</f>
      </c>
      <c r="J86" s="81" t="str">
        <f>IF($B85="","",IF($B85+1&gt;'Oneri mensili'!$C$4,"",IF(B85&lt;'Oneri mensili'!$C$11-1,0,IF('Oneri mensili'!$C$10=dropdowns!$B$186,'Oneri mensili'!$J$3,IF('Oneri mensili'!$C$10=dropdowns!$B$185,IFERROR('Oneri mensili'!$J$3-K86,0),0)))))</f>
      </c>
      <c r="K86" s="81" t="str">
        <f>IF($B85="","",IF($B85+1&gt;'Oneri mensili'!$C$4,"",G86*I86*'Oneri mensili'!$C$8))</f>
      </c>
      <c r="L86" s="81" t="str">
        <f t="shared" si="7"/>
      </c>
      <c r="M86" s="81" t="str">
        <f t="shared" si="5"/>
      </c>
      <c r="N86" s="80"/>
      <c r="O86" s="82" t="str">
        <f>IF($B86="","",'Oneri mensili'!$C$8)</f>
      </c>
      <c r="P86" s="82" t="str">
        <f>IF($B86="","",'Oneri mensili'!$C$8*(POWER(1+'Oneri mensili'!$C$8,$B86-1+1)))</f>
      </c>
      <c r="Q86" s="82" t="str">
        <f t="shared" si="8"/>
      </c>
      <c r="R86" s="80"/>
      <c r="S86" s="81" t="str">
        <f t="shared" si="6"/>
      </c>
      <c r="T86" s="81" t="str">
        <f>IF(S86="","",J86/(POWER(1+'Oneri mensili'!$C$8,$B86-1+1)))</f>
      </c>
      <c r="U86" s="83" t="str">
        <f t="shared" si="9"/>
      </c>
      <c r="V86" s="81" t="str">
        <f>IF($B86="","",K86/(POWER(1+'Oneri mensili'!$C$8,$B86-1+1)))</f>
      </c>
      <c r="W86" s="80"/>
    </row>
    <row r="87" spans="1:23" s="85" customFormat="1">
      <c r="A87" s="76"/>
      <c r="B87" s="77" t="str">
        <f>IF($B86="","",IF($B86+1&gt;'Oneri mensili'!$C$4,"",Schema!B86+1))</f>
      </c>
      <c r="C87" s="78" t="str">
        <f>IF($B86="","",IF($B86+1&gt;'Oneri mensili'!$C$4,"",EOMONTH(C86,0)+1))</f>
      </c>
      <c r="D87" s="76"/>
      <c r="E87" s="78" t="str">
        <f>IF($B86="","",IF($B86+1&gt;'Oneri mensili'!$C$4,"",F86+1))</f>
      </c>
      <c r="F87" s="78" t="str">
        <f>IF($B86="","",IF($B86+1&gt;'Oneri mensili'!$C$4,"",EOMONTH(E87,0)))</f>
      </c>
      <c r="G87" s="79" t="str">
        <f>IF($B86="","",IF($B86+1&gt;'Oneri mensili'!$C$4,"",(F87-E87)+1)/DAY(F87))</f>
      </c>
      <c r="H87" s="80"/>
      <c r="I87" s="81" t="str">
        <f>IF($B86="","",IF($B86+1&gt;'Oneri mensili'!$C$4,"",I86-J86))</f>
      </c>
      <c r="J87" s="81" t="str">
        <f>IF($B86="","",IF($B86+1&gt;'Oneri mensili'!$C$4,"",IF(B86&lt;'Oneri mensili'!$C$11-1,0,IF('Oneri mensili'!$C$10=dropdowns!$B$186,'Oneri mensili'!$J$3,IF('Oneri mensili'!$C$10=dropdowns!$B$185,IFERROR('Oneri mensili'!$J$3-K87,0),0)))))</f>
      </c>
      <c r="K87" s="81" t="str">
        <f>IF($B86="","",IF($B86+1&gt;'Oneri mensili'!$C$4,"",G87*I87*'Oneri mensili'!$C$8))</f>
      </c>
      <c r="L87" s="81" t="str">
        <f t="shared" si="7"/>
      </c>
      <c r="M87" s="81" t="str">
        <f t="shared" si="5"/>
      </c>
      <c r="N87" s="80"/>
      <c r="O87" s="82" t="str">
        <f>IF($B87="","",'Oneri mensili'!$C$8)</f>
      </c>
      <c r="P87" s="82" t="str">
        <f>IF($B87="","",'Oneri mensili'!$C$8*(POWER(1+'Oneri mensili'!$C$8,$B87-1+1)))</f>
      </c>
      <c r="Q87" s="82" t="str">
        <f t="shared" si="8"/>
      </c>
      <c r="R87" s="80"/>
      <c r="S87" s="81" t="str">
        <f t="shared" si="6"/>
      </c>
      <c r="T87" s="81" t="str">
        <f>IF(S87="","",J87/(POWER(1+'Oneri mensili'!$C$8,$B87-1+1)))</f>
      </c>
      <c r="U87" s="83" t="str">
        <f t="shared" si="9"/>
      </c>
      <c r="V87" s="81" t="str">
        <f>IF($B87="","",K87/(POWER(1+'Oneri mensili'!$C$8,$B87-1+1)))</f>
      </c>
      <c r="W87" s="80"/>
    </row>
    <row r="88" spans="1:23" s="85" customFormat="1">
      <c r="A88" s="76"/>
      <c r="B88" s="77" t="str">
        <f>IF($B87="","",IF($B87+1&gt;'Oneri mensili'!$C$4,"",Schema!B87+1))</f>
      </c>
      <c r="C88" s="78" t="str">
        <f>IF($B87="","",IF($B87+1&gt;'Oneri mensili'!$C$4,"",EOMONTH(C87,0)+1))</f>
      </c>
      <c r="D88" s="76"/>
      <c r="E88" s="78" t="str">
        <f>IF($B87="","",IF($B87+1&gt;'Oneri mensili'!$C$4,"",F87+1))</f>
      </c>
      <c r="F88" s="78" t="str">
        <f>IF($B87="","",IF($B87+1&gt;'Oneri mensili'!$C$4,"",EOMONTH(E88,0)))</f>
      </c>
      <c r="G88" s="79" t="str">
        <f>IF($B87="","",IF($B87+1&gt;'Oneri mensili'!$C$4,"",(F88-E88)+1)/DAY(F88))</f>
      </c>
      <c r="H88" s="80"/>
      <c r="I88" s="81" t="str">
        <f>IF($B87="","",IF($B87+1&gt;'Oneri mensili'!$C$4,"",I87-J87))</f>
      </c>
      <c r="J88" s="81" t="str">
        <f>IF($B87="","",IF($B87+1&gt;'Oneri mensili'!$C$4,"",IF(B87&lt;'Oneri mensili'!$C$11-1,0,IF('Oneri mensili'!$C$10=dropdowns!$B$186,'Oneri mensili'!$J$3,IF('Oneri mensili'!$C$10=dropdowns!$B$185,IFERROR('Oneri mensili'!$J$3-K88,0),0)))))</f>
      </c>
      <c r="K88" s="81" t="str">
        <f>IF($B87="","",IF($B87+1&gt;'Oneri mensili'!$C$4,"",G88*I88*'Oneri mensili'!$C$8))</f>
      </c>
      <c r="L88" s="81" t="str">
        <f t="shared" si="7"/>
      </c>
      <c r="M88" s="81" t="str">
        <f t="shared" si="5"/>
      </c>
      <c r="N88" s="80"/>
      <c r="O88" s="82" t="str">
        <f>IF($B88="","",'Oneri mensili'!$C$8)</f>
      </c>
      <c r="P88" s="82" t="str">
        <f>IF($B88="","",'Oneri mensili'!$C$8*(POWER(1+'Oneri mensili'!$C$8,$B88-1+1)))</f>
      </c>
      <c r="Q88" s="82" t="str">
        <f t="shared" si="8"/>
      </c>
      <c r="R88" s="80"/>
      <c r="S88" s="81" t="str">
        <f t="shared" si="6"/>
      </c>
      <c r="T88" s="81" t="str">
        <f>IF(S88="","",J88/(POWER(1+'Oneri mensili'!$C$8,$B88-1+1)))</f>
      </c>
      <c r="U88" s="83" t="str">
        <f t="shared" si="9"/>
      </c>
      <c r="V88" s="81" t="str">
        <f>IF($B88="","",K88/(POWER(1+'Oneri mensili'!$C$8,$B88-1+1)))</f>
      </c>
      <c r="W88" s="80"/>
    </row>
    <row r="89" spans="1:23" s="85" customFormat="1">
      <c r="A89" s="76"/>
      <c r="B89" s="77" t="str">
        <f>IF($B88="","",IF($B88+1&gt;'Oneri mensili'!$C$4,"",Schema!B88+1))</f>
      </c>
      <c r="C89" s="78" t="str">
        <f>IF($B88="","",IF($B88+1&gt;'Oneri mensili'!$C$4,"",EOMONTH(C88,0)+1))</f>
      </c>
      <c r="D89" s="76"/>
      <c r="E89" s="78" t="str">
        <f>IF($B88="","",IF($B88+1&gt;'Oneri mensili'!$C$4,"",F88+1))</f>
      </c>
      <c r="F89" s="78" t="str">
        <f>IF($B88="","",IF($B88+1&gt;'Oneri mensili'!$C$4,"",EOMONTH(E89,0)))</f>
      </c>
      <c r="G89" s="79" t="str">
        <f>IF($B88="","",IF($B88+1&gt;'Oneri mensili'!$C$4,"",(F89-E89)+1)/DAY(F89))</f>
      </c>
      <c r="H89" s="80"/>
      <c r="I89" s="81" t="str">
        <f>IF($B88="","",IF($B88+1&gt;'Oneri mensili'!$C$4,"",I88-J88))</f>
      </c>
      <c r="J89" s="81" t="str">
        <f>IF($B88="","",IF($B88+1&gt;'Oneri mensili'!$C$4,"",IF(B88&lt;'Oneri mensili'!$C$11-1,0,IF('Oneri mensili'!$C$10=dropdowns!$B$186,'Oneri mensili'!$J$3,IF('Oneri mensili'!$C$10=dropdowns!$B$185,IFERROR('Oneri mensili'!$J$3-K89,0),0)))))</f>
      </c>
      <c r="K89" s="81" t="str">
        <f>IF($B88="","",IF($B88+1&gt;'Oneri mensili'!$C$4,"",G89*I89*'Oneri mensili'!$C$8))</f>
      </c>
      <c r="L89" s="81" t="str">
        <f t="shared" si="7"/>
      </c>
      <c r="M89" s="81" t="str">
        <f t="shared" si="5"/>
      </c>
      <c r="N89" s="80"/>
      <c r="O89" s="82" t="str">
        <f>IF($B89="","",'Oneri mensili'!$C$8)</f>
      </c>
      <c r="P89" s="82" t="str">
        <f>IF($B89="","",'Oneri mensili'!$C$8*(POWER(1+'Oneri mensili'!$C$8,$B89-1+1)))</f>
      </c>
      <c r="Q89" s="82" t="str">
        <f t="shared" si="8"/>
      </c>
      <c r="R89" s="80"/>
      <c r="S89" s="81" t="str">
        <f t="shared" si="6"/>
      </c>
      <c r="T89" s="81" t="str">
        <f>IF(S89="","",J89/(POWER(1+'Oneri mensili'!$C$8,$B89-1+1)))</f>
      </c>
      <c r="U89" s="83" t="str">
        <f t="shared" si="9"/>
      </c>
      <c r="V89" s="81" t="str">
        <f>IF($B89="","",K89/(POWER(1+'Oneri mensili'!$C$8,$B89-1+1)))</f>
      </c>
      <c r="W89" s="80"/>
    </row>
    <row r="90" spans="1:23" s="85" customFormat="1">
      <c r="A90" s="76"/>
      <c r="B90" s="77" t="str">
        <f>IF($B89="","",IF($B89+1&gt;'Oneri mensili'!$C$4,"",Schema!B89+1))</f>
      </c>
      <c r="C90" s="78" t="str">
        <f>IF($B89="","",IF($B89+1&gt;'Oneri mensili'!$C$4,"",EOMONTH(C89,0)+1))</f>
      </c>
      <c r="D90" s="76"/>
      <c r="E90" s="78" t="str">
        <f>IF($B89="","",IF($B89+1&gt;'Oneri mensili'!$C$4,"",F89+1))</f>
      </c>
      <c r="F90" s="78" t="str">
        <f>IF($B89="","",IF($B89+1&gt;'Oneri mensili'!$C$4,"",EOMONTH(E90,0)))</f>
      </c>
      <c r="G90" s="79" t="str">
        <f>IF($B89="","",IF($B89+1&gt;'Oneri mensili'!$C$4,"",(F90-E90)+1)/DAY(F90))</f>
      </c>
      <c r="H90" s="80"/>
      <c r="I90" s="81" t="str">
        <f>IF($B89="","",IF($B89+1&gt;'Oneri mensili'!$C$4,"",I89-J89))</f>
      </c>
      <c r="J90" s="81" t="str">
        <f>IF($B89="","",IF($B89+1&gt;'Oneri mensili'!$C$4,"",IF(B89&lt;'Oneri mensili'!$C$11-1,0,IF('Oneri mensili'!$C$10=dropdowns!$B$186,'Oneri mensili'!$J$3,IF('Oneri mensili'!$C$10=dropdowns!$B$185,IFERROR('Oneri mensili'!$J$3-K90,0),0)))))</f>
      </c>
      <c r="K90" s="81" t="str">
        <f>IF($B89="","",IF($B89+1&gt;'Oneri mensili'!$C$4,"",G90*I90*'Oneri mensili'!$C$8))</f>
      </c>
      <c r="L90" s="81" t="str">
        <f t="shared" si="7"/>
      </c>
      <c r="M90" s="81" t="str">
        <f t="shared" si="5"/>
      </c>
      <c r="N90" s="80"/>
      <c r="O90" s="82" t="str">
        <f>IF($B90="","",'Oneri mensili'!$C$8)</f>
      </c>
      <c r="P90" s="82" t="str">
        <f>IF($B90="","",'Oneri mensili'!$C$8*(POWER(1+'Oneri mensili'!$C$8,$B90-1+1)))</f>
      </c>
      <c r="Q90" s="82" t="str">
        <f t="shared" si="8"/>
      </c>
      <c r="R90" s="80"/>
      <c r="S90" s="81" t="str">
        <f t="shared" si="6"/>
      </c>
      <c r="T90" s="81" t="str">
        <f>IF(S90="","",J90/(POWER(1+'Oneri mensili'!$C$8,$B90-1+1)))</f>
      </c>
      <c r="U90" s="83" t="str">
        <f t="shared" si="9"/>
      </c>
      <c r="V90" s="81" t="str">
        <f>IF($B90="","",K90/(POWER(1+'Oneri mensili'!$C$8,$B90-1+1)))</f>
      </c>
      <c r="W90" s="80"/>
    </row>
    <row r="91" spans="1:23" s="85" customFormat="1">
      <c r="A91" s="76"/>
      <c r="B91" s="77" t="str">
        <f>IF($B90="","",IF($B90+1&gt;'Oneri mensili'!$C$4,"",Schema!B90+1))</f>
      </c>
      <c r="C91" s="78" t="str">
        <f>IF($B90="","",IF($B90+1&gt;'Oneri mensili'!$C$4,"",EOMONTH(C90,0)+1))</f>
      </c>
      <c r="D91" s="76"/>
      <c r="E91" s="78" t="str">
        <f>IF($B90="","",IF($B90+1&gt;'Oneri mensili'!$C$4,"",F90+1))</f>
      </c>
      <c r="F91" s="78" t="str">
        <f>IF($B90="","",IF($B90+1&gt;'Oneri mensili'!$C$4,"",EOMONTH(E91,0)))</f>
      </c>
      <c r="G91" s="79" t="str">
        <f>IF($B90="","",IF($B90+1&gt;'Oneri mensili'!$C$4,"",(F91-E91)+1)/DAY(F91))</f>
      </c>
      <c r="H91" s="80"/>
      <c r="I91" s="81" t="str">
        <f>IF($B90="","",IF($B90+1&gt;'Oneri mensili'!$C$4,"",I90-J90))</f>
      </c>
      <c r="J91" s="81" t="str">
        <f>IF($B90="","",IF($B90+1&gt;'Oneri mensili'!$C$4,"",IF(B90&lt;'Oneri mensili'!$C$11-1,0,IF('Oneri mensili'!$C$10=dropdowns!$B$186,'Oneri mensili'!$J$3,IF('Oneri mensili'!$C$10=dropdowns!$B$185,IFERROR('Oneri mensili'!$J$3-K91,0),0)))))</f>
      </c>
      <c r="K91" s="81" t="str">
        <f>IF($B90="","",IF($B90+1&gt;'Oneri mensili'!$C$4,"",G91*I91*'Oneri mensili'!$C$8))</f>
      </c>
      <c r="L91" s="81" t="str">
        <f t="shared" si="7"/>
      </c>
      <c r="M91" s="81" t="str">
        <f t="shared" si="5"/>
      </c>
      <c r="N91" s="80"/>
      <c r="O91" s="82" t="str">
        <f>IF($B91="","",'Oneri mensili'!$C$8)</f>
      </c>
      <c r="P91" s="82" t="str">
        <f>IF($B91="","",'Oneri mensili'!$C$8*(POWER(1+'Oneri mensili'!$C$8,$B91-1+1)))</f>
      </c>
      <c r="Q91" s="82" t="str">
        <f t="shared" si="8"/>
      </c>
      <c r="R91" s="80"/>
      <c r="S91" s="81" t="str">
        <f t="shared" si="6"/>
      </c>
      <c r="T91" s="81" t="str">
        <f>IF(S91="","",J91/(POWER(1+'Oneri mensili'!$C$8,$B91-1+1)))</f>
      </c>
      <c r="U91" s="83" t="str">
        <f t="shared" si="9"/>
      </c>
      <c r="V91" s="81" t="str">
        <f>IF($B91="","",K91/(POWER(1+'Oneri mensili'!$C$8,$B91-1+1)))</f>
      </c>
      <c r="W91" s="80"/>
    </row>
    <row r="92" spans="1:23" s="85" customFormat="1">
      <c r="A92" s="76"/>
      <c r="B92" s="77" t="str">
        <f>IF($B91="","",IF($B91+1&gt;'Oneri mensili'!$C$4,"",Schema!B91+1))</f>
      </c>
      <c r="C92" s="78" t="str">
        <f>IF($B91="","",IF($B91+1&gt;'Oneri mensili'!$C$4,"",EOMONTH(C91,0)+1))</f>
      </c>
      <c r="D92" s="76"/>
      <c r="E92" s="78" t="str">
        <f>IF($B91="","",IF($B91+1&gt;'Oneri mensili'!$C$4,"",F91+1))</f>
      </c>
      <c r="F92" s="78" t="str">
        <f>IF($B91="","",IF($B91+1&gt;'Oneri mensili'!$C$4,"",EOMONTH(E92,0)))</f>
      </c>
      <c r="G92" s="79" t="str">
        <f>IF($B91="","",IF($B91+1&gt;'Oneri mensili'!$C$4,"",(F92-E92)+1)/DAY(F92))</f>
      </c>
      <c r="H92" s="80"/>
      <c r="I92" s="81" t="str">
        <f>IF($B91="","",IF($B91+1&gt;'Oneri mensili'!$C$4,"",I91-J91))</f>
      </c>
      <c r="J92" s="81" t="str">
        <f>IF($B91="","",IF($B91+1&gt;'Oneri mensili'!$C$4,"",IF(B91&lt;'Oneri mensili'!$C$11-1,0,IF('Oneri mensili'!$C$10=dropdowns!$B$186,'Oneri mensili'!$J$3,IF('Oneri mensili'!$C$10=dropdowns!$B$185,IFERROR('Oneri mensili'!$J$3-K92,0),0)))))</f>
      </c>
      <c r="K92" s="81" t="str">
        <f>IF($B91="","",IF($B91+1&gt;'Oneri mensili'!$C$4,"",G92*I92*'Oneri mensili'!$C$8))</f>
      </c>
      <c r="L92" s="81" t="str">
        <f t="shared" si="7"/>
      </c>
      <c r="M92" s="81" t="str">
        <f t="shared" si="5"/>
      </c>
      <c r="N92" s="80"/>
      <c r="O92" s="82" t="str">
        <f>IF($B92="","",'Oneri mensili'!$C$8)</f>
      </c>
      <c r="P92" s="82" t="str">
        <f>IF($B92="","",'Oneri mensili'!$C$8*(POWER(1+'Oneri mensili'!$C$8,$B92-1+1)))</f>
      </c>
      <c r="Q92" s="82" t="str">
        <f t="shared" si="8"/>
      </c>
      <c r="R92" s="80"/>
      <c r="S92" s="81" t="str">
        <f t="shared" si="6"/>
      </c>
      <c r="T92" s="81" t="str">
        <f>IF(S92="","",J92/(POWER(1+'Oneri mensili'!$C$8,$B92-1+1)))</f>
      </c>
      <c r="U92" s="83" t="str">
        <f t="shared" si="9"/>
      </c>
      <c r="V92" s="81" t="str">
        <f>IF($B92="","",K92/(POWER(1+'Oneri mensili'!$C$8,$B92-1+1)))</f>
      </c>
      <c r="W92" s="80"/>
    </row>
    <row r="93" spans="1:23" s="85" customFormat="1">
      <c r="A93" s="76"/>
      <c r="B93" s="77" t="str">
        <f>IF($B92="","",IF($B92+1&gt;'Oneri mensili'!$C$4,"",Schema!B92+1))</f>
      </c>
      <c r="C93" s="78" t="str">
        <f>IF($B92="","",IF($B92+1&gt;'Oneri mensili'!$C$4,"",EOMONTH(C92,0)+1))</f>
      </c>
      <c r="D93" s="76"/>
      <c r="E93" s="78" t="str">
        <f>IF($B92="","",IF($B92+1&gt;'Oneri mensili'!$C$4,"",F92+1))</f>
      </c>
      <c r="F93" s="78" t="str">
        <f>IF($B92="","",IF($B92+1&gt;'Oneri mensili'!$C$4,"",EOMONTH(E93,0)))</f>
      </c>
      <c r="G93" s="79" t="str">
        <f>IF($B92="","",IF($B92+1&gt;'Oneri mensili'!$C$4,"",(F93-E93)+1)/DAY(F93))</f>
      </c>
      <c r="H93" s="80"/>
      <c r="I93" s="81" t="str">
        <f>IF($B92="","",IF($B92+1&gt;'Oneri mensili'!$C$4,"",I92-J92))</f>
      </c>
      <c r="J93" s="81" t="str">
        <f>IF($B92="","",IF($B92+1&gt;'Oneri mensili'!$C$4,"",IF(B92&lt;'Oneri mensili'!$C$11-1,0,IF('Oneri mensili'!$C$10=dropdowns!$B$186,'Oneri mensili'!$J$3,IF('Oneri mensili'!$C$10=dropdowns!$B$185,IFERROR('Oneri mensili'!$J$3-K93,0),0)))))</f>
      </c>
      <c r="K93" s="81" t="str">
        <f>IF($B92="","",IF($B92+1&gt;'Oneri mensili'!$C$4,"",G93*I93*'Oneri mensili'!$C$8))</f>
      </c>
      <c r="L93" s="81" t="str">
        <f t="shared" si="7"/>
      </c>
      <c r="M93" s="81" t="str">
        <f t="shared" si="5"/>
      </c>
      <c r="N93" s="80"/>
      <c r="O93" s="82" t="str">
        <f>IF($B93="","",'Oneri mensili'!$C$8)</f>
      </c>
      <c r="P93" s="82" t="str">
        <f>IF($B93="","",'Oneri mensili'!$C$8*(POWER(1+'Oneri mensili'!$C$8,$B93-1+1)))</f>
      </c>
      <c r="Q93" s="82" t="str">
        <f t="shared" si="8"/>
      </c>
      <c r="R93" s="80"/>
      <c r="S93" s="81" t="str">
        <f t="shared" si="6"/>
      </c>
      <c r="T93" s="81" t="str">
        <f>IF(S93="","",J93/(POWER(1+'Oneri mensili'!$C$8,$B93-1+1)))</f>
      </c>
      <c r="U93" s="83" t="str">
        <f t="shared" si="9"/>
      </c>
      <c r="V93" s="81" t="str">
        <f>IF($B93="","",K93/(POWER(1+'Oneri mensili'!$C$8,$B93-1+1)))</f>
      </c>
      <c r="W93" s="80"/>
    </row>
    <row r="94" spans="1:23" s="85" customFormat="1">
      <c r="A94" s="76"/>
      <c r="B94" s="77" t="str">
        <f>IF($B93="","",IF($B93+1&gt;'Oneri mensili'!$C$4,"",Schema!B93+1))</f>
      </c>
      <c r="C94" s="78" t="str">
        <f>IF($B93="","",IF($B93+1&gt;'Oneri mensili'!$C$4,"",EOMONTH(C93,0)+1))</f>
      </c>
      <c r="D94" s="76"/>
      <c r="E94" s="78" t="str">
        <f>IF($B93="","",IF($B93+1&gt;'Oneri mensili'!$C$4,"",F93+1))</f>
      </c>
      <c r="F94" s="78" t="str">
        <f>IF($B93="","",IF($B93+1&gt;'Oneri mensili'!$C$4,"",EOMONTH(E94,0)))</f>
      </c>
      <c r="G94" s="79" t="str">
        <f>IF($B93="","",IF($B93+1&gt;'Oneri mensili'!$C$4,"",(F94-E94)+1)/DAY(F94))</f>
      </c>
      <c r="H94" s="80"/>
      <c r="I94" s="81" t="str">
        <f>IF($B93="","",IF($B93+1&gt;'Oneri mensili'!$C$4,"",I93-J93))</f>
      </c>
      <c r="J94" s="81" t="str">
        <f>IF($B93="","",IF($B93+1&gt;'Oneri mensili'!$C$4,"",IF(B93&lt;'Oneri mensili'!$C$11-1,0,IF('Oneri mensili'!$C$10=dropdowns!$B$186,'Oneri mensili'!$J$3,IF('Oneri mensili'!$C$10=dropdowns!$B$185,IFERROR('Oneri mensili'!$J$3-K94,0),0)))))</f>
      </c>
      <c r="K94" s="81" t="str">
        <f>IF($B93="","",IF($B93+1&gt;'Oneri mensili'!$C$4,"",G94*I94*'Oneri mensili'!$C$8))</f>
      </c>
      <c r="L94" s="81" t="str">
        <f t="shared" si="7"/>
      </c>
      <c r="M94" s="81" t="str">
        <f t="shared" si="5"/>
      </c>
      <c r="N94" s="80"/>
      <c r="O94" s="82" t="str">
        <f>IF($B94="","",'Oneri mensili'!$C$8)</f>
      </c>
      <c r="P94" s="82" t="str">
        <f>IF($B94="","",'Oneri mensili'!$C$8*(POWER(1+'Oneri mensili'!$C$8,$B94-1+1)))</f>
      </c>
      <c r="Q94" s="82" t="str">
        <f t="shared" si="8"/>
      </c>
      <c r="R94" s="80"/>
      <c r="S94" s="81" t="str">
        <f t="shared" si="6"/>
      </c>
      <c r="T94" s="81" t="str">
        <f>IF(S94="","",J94/(POWER(1+'Oneri mensili'!$C$8,$B94-1+1)))</f>
      </c>
      <c r="U94" s="83" t="str">
        <f t="shared" si="9"/>
      </c>
      <c r="V94" s="81" t="str">
        <f>IF($B94="","",K94/(POWER(1+'Oneri mensili'!$C$8,$B94-1+1)))</f>
      </c>
      <c r="W94" s="80"/>
    </row>
    <row r="95" spans="1:23" s="85" customFormat="1">
      <c r="A95" s="76"/>
      <c r="B95" s="77" t="str">
        <f>IF($B94="","",IF($B94+1&gt;'Oneri mensili'!$C$4,"",Schema!B94+1))</f>
      </c>
      <c r="C95" s="78" t="str">
        <f>IF($B94="","",IF($B94+1&gt;'Oneri mensili'!$C$4,"",EOMONTH(C94,0)+1))</f>
      </c>
      <c r="D95" s="76"/>
      <c r="E95" s="78" t="str">
        <f>IF($B94="","",IF($B94+1&gt;'Oneri mensili'!$C$4,"",F94+1))</f>
      </c>
      <c r="F95" s="78" t="str">
        <f>IF($B94="","",IF($B94+1&gt;'Oneri mensili'!$C$4,"",EOMONTH(E95,0)))</f>
      </c>
      <c r="G95" s="79" t="str">
        <f>IF($B94="","",IF($B94+1&gt;'Oneri mensili'!$C$4,"",(F95-E95)+1)/DAY(F95))</f>
      </c>
      <c r="H95" s="80"/>
      <c r="I95" s="81" t="str">
        <f>IF($B94="","",IF($B94+1&gt;'Oneri mensili'!$C$4,"",I94-J94))</f>
      </c>
      <c r="J95" s="81" t="str">
        <f>IF($B94="","",IF($B94+1&gt;'Oneri mensili'!$C$4,"",IF(B94&lt;'Oneri mensili'!$C$11-1,0,IF('Oneri mensili'!$C$10=dropdowns!$B$186,'Oneri mensili'!$J$3,IF('Oneri mensili'!$C$10=dropdowns!$B$185,IFERROR('Oneri mensili'!$J$3-K95,0),0)))))</f>
      </c>
      <c r="K95" s="81" t="str">
        <f>IF($B94="","",IF($B94+1&gt;'Oneri mensili'!$C$4,"",G95*I95*'Oneri mensili'!$C$8))</f>
      </c>
      <c r="L95" s="81" t="str">
        <f t="shared" si="7"/>
      </c>
      <c r="M95" s="81" t="str">
        <f t="shared" si="5"/>
      </c>
      <c r="N95" s="80"/>
      <c r="O95" s="82" t="str">
        <f>IF($B95="","",'Oneri mensili'!$C$8)</f>
      </c>
      <c r="P95" s="82" t="str">
        <f>IF($B95="","",'Oneri mensili'!$C$8*(POWER(1+'Oneri mensili'!$C$8,$B95-1+1)))</f>
      </c>
      <c r="Q95" s="82" t="str">
        <f t="shared" si="8"/>
      </c>
      <c r="R95" s="80"/>
      <c r="S95" s="81" t="str">
        <f t="shared" si="6"/>
      </c>
      <c r="T95" s="81" t="str">
        <f>IF(S95="","",J95/(POWER(1+'Oneri mensili'!$C$8,$B95-1+1)))</f>
      </c>
      <c r="U95" s="83" t="str">
        <f t="shared" si="9"/>
      </c>
      <c r="V95" s="81" t="str">
        <f>IF($B95="","",K95/(POWER(1+'Oneri mensili'!$C$8,$B95-1+1)))</f>
      </c>
      <c r="W95" s="80"/>
    </row>
    <row r="96" spans="1:23" s="85" customFormat="1">
      <c r="A96" s="76"/>
      <c r="B96" s="77" t="str">
        <f>IF($B95="","",IF($B95+1&gt;'Oneri mensili'!$C$4,"",Schema!B95+1))</f>
      </c>
      <c r="C96" s="78" t="str">
        <f>IF($B95="","",IF($B95+1&gt;'Oneri mensili'!$C$4,"",EOMONTH(C95,0)+1))</f>
      </c>
      <c r="D96" s="76"/>
      <c r="E96" s="78" t="str">
        <f>IF($B95="","",IF($B95+1&gt;'Oneri mensili'!$C$4,"",F95+1))</f>
      </c>
      <c r="F96" s="78" t="str">
        <f>IF($B95="","",IF($B95+1&gt;'Oneri mensili'!$C$4,"",EOMONTH(E96,0)))</f>
      </c>
      <c r="G96" s="79" t="str">
        <f>IF($B95="","",IF($B95+1&gt;'Oneri mensili'!$C$4,"",(F96-E96)+1)/DAY(F96))</f>
      </c>
      <c r="H96" s="80"/>
      <c r="I96" s="81" t="str">
        <f>IF($B95="","",IF($B95+1&gt;'Oneri mensili'!$C$4,"",I95-J95))</f>
      </c>
      <c r="J96" s="81" t="str">
        <f>IF($B95="","",IF($B95+1&gt;'Oneri mensili'!$C$4,"",IF(B95&lt;'Oneri mensili'!$C$11-1,0,IF('Oneri mensili'!$C$10=dropdowns!$B$186,'Oneri mensili'!$J$3,IF('Oneri mensili'!$C$10=dropdowns!$B$185,IFERROR('Oneri mensili'!$J$3-K96,0),0)))))</f>
      </c>
      <c r="K96" s="81" t="str">
        <f>IF($B95="","",IF($B95+1&gt;'Oneri mensili'!$C$4,"",G96*I96*'Oneri mensili'!$C$8))</f>
      </c>
      <c r="L96" s="81" t="str">
        <f t="shared" si="7"/>
      </c>
      <c r="M96" s="81" t="str">
        <f t="shared" si="5"/>
      </c>
      <c r="N96" s="80"/>
      <c r="O96" s="82" t="str">
        <f>IF($B96="","",'Oneri mensili'!$C$8)</f>
      </c>
      <c r="P96" s="82" t="str">
        <f>IF($B96="","",'Oneri mensili'!$C$8*(POWER(1+'Oneri mensili'!$C$8,$B96-1+1)))</f>
      </c>
      <c r="Q96" s="82" t="str">
        <f t="shared" si="8"/>
      </c>
      <c r="R96" s="80"/>
      <c r="S96" s="81" t="str">
        <f t="shared" si="6"/>
      </c>
      <c r="T96" s="81" t="str">
        <f>IF(S96="","",J96/(POWER(1+'Oneri mensili'!$C$8,$B96-1+1)))</f>
      </c>
      <c r="U96" s="83" t="str">
        <f t="shared" si="9"/>
      </c>
      <c r="V96" s="81" t="str">
        <f>IF($B96="","",K96/(POWER(1+'Oneri mensili'!$C$8,$B96-1+1)))</f>
      </c>
      <c r="W96" s="80"/>
    </row>
    <row r="97" spans="1:23" s="85" customFormat="1">
      <c r="A97" s="76"/>
      <c r="B97" s="77" t="str">
        <f>IF($B96="","",IF($B96+1&gt;'Oneri mensili'!$C$4,"",Schema!B96+1))</f>
      </c>
      <c r="C97" s="78" t="str">
        <f>IF($B96="","",IF($B96+1&gt;'Oneri mensili'!$C$4,"",EOMONTH(C96,0)+1))</f>
      </c>
      <c r="D97" s="76"/>
      <c r="E97" s="78" t="str">
        <f>IF($B96="","",IF($B96+1&gt;'Oneri mensili'!$C$4,"",F96+1))</f>
      </c>
      <c r="F97" s="78" t="str">
        <f>IF($B96="","",IF($B96+1&gt;'Oneri mensili'!$C$4,"",EOMONTH(E97,0)))</f>
      </c>
      <c r="G97" s="79" t="str">
        <f>IF($B96="","",IF($B96+1&gt;'Oneri mensili'!$C$4,"",(F97-E97)+1)/DAY(F97))</f>
      </c>
      <c r="H97" s="80"/>
      <c r="I97" s="81" t="str">
        <f>IF($B96="","",IF($B96+1&gt;'Oneri mensili'!$C$4,"",I96-J96))</f>
      </c>
      <c r="J97" s="81" t="str">
        <f>IF($B96="","",IF($B96+1&gt;'Oneri mensili'!$C$4,"",IF(B96&lt;'Oneri mensili'!$C$11-1,0,IF('Oneri mensili'!$C$10=dropdowns!$B$186,'Oneri mensili'!$J$3,IF('Oneri mensili'!$C$10=dropdowns!$B$185,IFERROR('Oneri mensili'!$J$3-K97,0),0)))))</f>
      </c>
      <c r="K97" s="81" t="str">
        <f>IF($B96="","",IF($B96+1&gt;'Oneri mensili'!$C$4,"",G97*I97*'Oneri mensili'!$C$8))</f>
      </c>
      <c r="L97" s="81" t="str">
        <f t="shared" si="7"/>
      </c>
      <c r="M97" s="81" t="str">
        <f t="shared" si="5"/>
      </c>
      <c r="N97" s="80"/>
      <c r="O97" s="82" t="str">
        <f>IF($B97="","",'Oneri mensili'!$C$8)</f>
      </c>
      <c r="P97" s="82" t="str">
        <f>IF($B97="","",'Oneri mensili'!$C$8*(POWER(1+'Oneri mensili'!$C$8,$B97-1+1)))</f>
      </c>
      <c r="Q97" s="82" t="str">
        <f t="shared" si="8"/>
      </c>
      <c r="R97" s="80"/>
      <c r="S97" s="81" t="str">
        <f t="shared" si="6"/>
      </c>
      <c r="T97" s="81" t="str">
        <f>IF(S97="","",J97/(POWER(1+'Oneri mensili'!$C$8,$B97-1+1)))</f>
      </c>
      <c r="U97" s="83" t="str">
        <f t="shared" si="9"/>
      </c>
      <c r="V97" s="81" t="str">
        <f>IF($B97="","",K97/(POWER(1+'Oneri mensili'!$C$8,$B97-1+1)))</f>
      </c>
      <c r="W97" s="80"/>
    </row>
    <row r="98" spans="1:23" s="85" customFormat="1">
      <c r="A98" s="76"/>
      <c r="B98" s="77" t="str">
        <f>IF($B97="","",IF($B97+1&gt;'Oneri mensili'!$C$4,"",Schema!B97+1))</f>
      </c>
      <c r="C98" s="78" t="str">
        <f>IF($B97="","",IF($B97+1&gt;'Oneri mensili'!$C$4,"",EOMONTH(C97,0)+1))</f>
      </c>
      <c r="D98" s="76"/>
      <c r="E98" s="78" t="str">
        <f>IF($B97="","",IF($B97+1&gt;'Oneri mensili'!$C$4,"",F97+1))</f>
      </c>
      <c r="F98" s="78" t="str">
        <f>IF($B97="","",IF($B97+1&gt;'Oneri mensili'!$C$4,"",EOMONTH(E98,0)))</f>
      </c>
      <c r="G98" s="79" t="str">
        <f>IF($B97="","",IF($B97+1&gt;'Oneri mensili'!$C$4,"",(F98-E98)+1)/DAY(F98))</f>
      </c>
      <c r="H98" s="80"/>
      <c r="I98" s="81" t="str">
        <f>IF($B97="","",IF($B97+1&gt;'Oneri mensili'!$C$4,"",I97-J97))</f>
      </c>
      <c r="J98" s="81" t="str">
        <f>IF($B97="","",IF($B97+1&gt;'Oneri mensili'!$C$4,"",IF(B97&lt;'Oneri mensili'!$C$11-1,0,IF('Oneri mensili'!$C$10=dropdowns!$B$186,'Oneri mensili'!$J$3,IF('Oneri mensili'!$C$10=dropdowns!$B$185,IFERROR('Oneri mensili'!$J$3-K98,0),0)))))</f>
      </c>
      <c r="K98" s="81" t="str">
        <f>IF($B97="","",IF($B97+1&gt;'Oneri mensili'!$C$4,"",G98*I98*'Oneri mensili'!$C$8))</f>
      </c>
      <c r="L98" s="81" t="str">
        <f t="shared" si="7"/>
      </c>
      <c r="M98" s="81" t="str">
        <f t="shared" si="5"/>
      </c>
      <c r="N98" s="80"/>
      <c r="O98" s="82" t="str">
        <f>IF($B98="","",'Oneri mensili'!$C$8)</f>
      </c>
      <c r="P98" s="82" t="str">
        <f>IF($B98="","",'Oneri mensili'!$C$8*(POWER(1+'Oneri mensili'!$C$8,$B98-1+1)))</f>
      </c>
      <c r="Q98" s="82" t="str">
        <f t="shared" si="8"/>
      </c>
      <c r="R98" s="80"/>
      <c r="S98" s="81" t="str">
        <f t="shared" si="6"/>
      </c>
      <c r="T98" s="81" t="str">
        <f>IF(S98="","",J98/(POWER(1+'Oneri mensili'!$C$8,$B98-1+1)))</f>
      </c>
      <c r="U98" s="83" t="str">
        <f t="shared" si="9"/>
      </c>
      <c r="V98" s="81" t="str">
        <f>IF($B98="","",K98/(POWER(1+'Oneri mensili'!$C$8,$B98-1+1)))</f>
      </c>
      <c r="W98" s="80"/>
    </row>
    <row r="99" spans="1:23" s="85" customFormat="1">
      <c r="A99" s="76"/>
      <c r="B99" s="77" t="str">
        <f>IF($B98="","",IF($B98+1&gt;'Oneri mensili'!$C$4,"",Schema!B98+1))</f>
      </c>
      <c r="C99" s="78" t="str">
        <f>IF($B98="","",IF($B98+1&gt;'Oneri mensili'!$C$4,"",EOMONTH(C98,0)+1))</f>
      </c>
      <c r="D99" s="76"/>
      <c r="E99" s="78" t="str">
        <f>IF($B98="","",IF($B98+1&gt;'Oneri mensili'!$C$4,"",F98+1))</f>
      </c>
      <c r="F99" s="78" t="str">
        <f>IF($B98="","",IF($B98+1&gt;'Oneri mensili'!$C$4,"",EOMONTH(E99,0)))</f>
      </c>
      <c r="G99" s="79" t="str">
        <f>IF($B98="","",IF($B98+1&gt;'Oneri mensili'!$C$4,"",(F99-E99)+1)/DAY(F99))</f>
      </c>
      <c r="H99" s="80"/>
      <c r="I99" s="81" t="str">
        <f>IF($B98="","",IF($B98+1&gt;'Oneri mensili'!$C$4,"",I98-J98))</f>
      </c>
      <c r="J99" s="81" t="str">
        <f>IF($B98="","",IF($B98+1&gt;'Oneri mensili'!$C$4,"",IF(B98&lt;'Oneri mensili'!$C$11-1,0,IF('Oneri mensili'!$C$10=dropdowns!$B$186,'Oneri mensili'!$J$3,IF('Oneri mensili'!$C$10=dropdowns!$B$185,IFERROR('Oneri mensili'!$J$3-K99,0),0)))))</f>
      </c>
      <c r="K99" s="81" t="str">
        <f>IF($B98="","",IF($B98+1&gt;'Oneri mensili'!$C$4,"",G99*I99*'Oneri mensili'!$C$8))</f>
      </c>
      <c r="L99" s="81" t="str">
        <f t="shared" si="7"/>
      </c>
      <c r="M99" s="81" t="str">
        <f t="shared" si="5"/>
      </c>
      <c r="N99" s="80"/>
      <c r="O99" s="82" t="str">
        <f>IF($B99="","",'Oneri mensili'!$C$8)</f>
      </c>
      <c r="P99" s="82" t="str">
        <f>IF($B99="","",'Oneri mensili'!$C$8*(POWER(1+'Oneri mensili'!$C$8,$B99-1+1)))</f>
      </c>
      <c r="Q99" s="82" t="str">
        <f t="shared" si="8"/>
      </c>
      <c r="R99" s="80"/>
      <c r="S99" s="81" t="str">
        <f t="shared" si="6"/>
      </c>
      <c r="T99" s="81" t="str">
        <f>IF(S99="","",J99/(POWER(1+'Oneri mensili'!$C$8,$B99-1+1)))</f>
      </c>
      <c r="U99" s="83" t="str">
        <f t="shared" si="9"/>
      </c>
      <c r="V99" s="81" t="str">
        <f>IF($B99="","",K99/(POWER(1+'Oneri mensili'!$C$8,$B99-1+1)))</f>
      </c>
      <c r="W99" s="80"/>
    </row>
    <row r="100" spans="1:23" s="85" customFormat="1">
      <c r="A100" s="76"/>
      <c r="B100" s="77" t="str">
        <f>IF($B99="","",IF($B99+1&gt;'Oneri mensili'!$C$4,"",Schema!B99+1))</f>
      </c>
      <c r="C100" s="78" t="str">
        <f>IF($B99="","",IF($B99+1&gt;'Oneri mensili'!$C$4,"",EOMONTH(C99,0)+1))</f>
      </c>
      <c r="D100" s="76"/>
      <c r="E100" s="78" t="str">
        <f>IF($B99="","",IF($B99+1&gt;'Oneri mensili'!$C$4,"",F99+1))</f>
      </c>
      <c r="F100" s="78" t="str">
        <f>IF($B99="","",IF($B99+1&gt;'Oneri mensili'!$C$4,"",EOMONTH(E100,0)))</f>
      </c>
      <c r="G100" s="79" t="str">
        <f>IF($B99="","",IF($B99+1&gt;'Oneri mensili'!$C$4,"",(F100-E100)+1)/DAY(F100))</f>
      </c>
      <c r="H100" s="80"/>
      <c r="I100" s="81" t="str">
        <f>IF($B99="","",IF($B99+1&gt;'Oneri mensili'!$C$4,"",I99-J99))</f>
      </c>
      <c r="J100" s="81" t="str">
        <f>IF($B99="","",IF($B99+1&gt;'Oneri mensili'!$C$4,"",IF(B99&lt;'Oneri mensili'!$C$11-1,0,IF('Oneri mensili'!$C$10=dropdowns!$B$186,'Oneri mensili'!$J$3,IF('Oneri mensili'!$C$10=dropdowns!$B$185,IFERROR('Oneri mensili'!$J$3-K100,0),0)))))</f>
      </c>
      <c r="K100" s="81" t="str">
        <f>IF($B99="","",IF($B99+1&gt;'Oneri mensili'!$C$4,"",G100*I100*'Oneri mensili'!$C$8))</f>
      </c>
      <c r="L100" s="81" t="str">
        <f t="shared" si="7"/>
      </c>
      <c r="M100" s="81" t="str">
        <f t="shared" si="5"/>
      </c>
      <c r="N100" s="80"/>
      <c r="O100" s="82" t="str">
        <f>IF($B100="","",'Oneri mensili'!$C$8)</f>
      </c>
      <c r="P100" s="82" t="str">
        <f>IF($B100="","",'Oneri mensili'!$C$8*(POWER(1+'Oneri mensili'!$C$8,$B100-1+1)))</f>
      </c>
      <c r="Q100" s="82" t="str">
        <f t="shared" si="8"/>
      </c>
      <c r="R100" s="80"/>
      <c r="S100" s="81" t="str">
        <f t="shared" si="6"/>
      </c>
      <c r="T100" s="81" t="str">
        <f>IF(S100="","",J100/(POWER(1+'Oneri mensili'!$C$8,$B100-1+1)))</f>
      </c>
      <c r="U100" s="83" t="str">
        <f t="shared" si="9"/>
      </c>
      <c r="V100" s="81" t="str">
        <f>IF($B100="","",K100/(POWER(1+'Oneri mensili'!$C$8,$B100-1+1)))</f>
      </c>
      <c r="W100" s="80"/>
    </row>
    <row r="101" spans="1:23" s="85" customFormat="1">
      <c r="A101" s="76"/>
      <c r="B101" s="77" t="str">
        <f>IF($B100="","",IF($B100+1&gt;'Oneri mensili'!$C$4,"",Schema!B100+1))</f>
      </c>
      <c r="C101" s="78" t="str">
        <f>IF($B100="","",IF($B100+1&gt;'Oneri mensili'!$C$4,"",EOMONTH(C100,0)+1))</f>
      </c>
      <c r="D101" s="76"/>
      <c r="E101" s="78" t="str">
        <f>IF($B100="","",IF($B100+1&gt;'Oneri mensili'!$C$4,"",F100+1))</f>
      </c>
      <c r="F101" s="78" t="str">
        <f>IF($B100="","",IF($B100+1&gt;'Oneri mensili'!$C$4,"",EOMONTH(E101,0)))</f>
      </c>
      <c r="G101" s="79" t="str">
        <f>IF($B100="","",IF($B100+1&gt;'Oneri mensili'!$C$4,"",(F101-E101)+1)/DAY(F101))</f>
      </c>
      <c r="H101" s="80"/>
      <c r="I101" s="81" t="str">
        <f>IF($B100="","",IF($B100+1&gt;'Oneri mensili'!$C$4,"",I100-J100))</f>
      </c>
      <c r="J101" s="81" t="str">
        <f>IF($B100="","",IF($B100+1&gt;'Oneri mensili'!$C$4,"",IF(B100&lt;'Oneri mensili'!$C$11-1,0,IF('Oneri mensili'!$C$10=dropdowns!$B$186,'Oneri mensili'!$J$3,IF('Oneri mensili'!$C$10=dropdowns!$B$185,IFERROR('Oneri mensili'!$J$3-K101,0),0)))))</f>
      </c>
      <c r="K101" s="81" t="str">
        <f>IF($B100="","",IF($B100+1&gt;'Oneri mensili'!$C$4,"",G101*I101*'Oneri mensili'!$C$8))</f>
      </c>
      <c r="L101" s="81" t="str">
        <f t="shared" si="7"/>
      </c>
      <c r="M101" s="81" t="str">
        <f t="shared" si="5"/>
      </c>
      <c r="N101" s="80"/>
      <c r="O101" s="82" t="str">
        <f>IF($B101="","",'Oneri mensili'!$C$8)</f>
      </c>
      <c r="P101" s="82" t="str">
        <f>IF($B101="","",'Oneri mensili'!$C$8*(POWER(1+'Oneri mensili'!$C$8,$B101-1+1)))</f>
      </c>
      <c r="Q101" s="82" t="str">
        <f t="shared" si="8"/>
      </c>
      <c r="R101" s="80"/>
      <c r="S101" s="81" t="str">
        <f t="shared" si="6"/>
      </c>
      <c r="T101" s="81" t="str">
        <f>IF(S101="","",J101/(POWER(1+'Oneri mensili'!$C$8,$B101-1+1)))</f>
      </c>
      <c r="U101" s="83" t="str">
        <f t="shared" si="9"/>
      </c>
      <c r="V101" s="81" t="str">
        <f>IF($B101="","",K101/(POWER(1+'Oneri mensili'!$C$8,$B101-1+1)))</f>
      </c>
      <c r="W101" s="80"/>
    </row>
    <row r="102" spans="1:23" s="85" customFormat="1">
      <c r="A102" s="76"/>
      <c r="B102" s="77" t="str">
        <f>IF($B101="","",IF($B101+1&gt;'Oneri mensili'!$C$4,"",Schema!B101+1))</f>
      </c>
      <c r="C102" s="78" t="str">
        <f>IF($B101="","",IF($B101+1&gt;'Oneri mensili'!$C$4,"",EOMONTH(C101,0)+1))</f>
      </c>
      <c r="D102" s="76"/>
      <c r="E102" s="78" t="str">
        <f>IF($B101="","",IF($B101+1&gt;'Oneri mensili'!$C$4,"",F101+1))</f>
      </c>
      <c r="F102" s="78" t="str">
        <f>IF($B101="","",IF($B101+1&gt;'Oneri mensili'!$C$4,"",EOMONTH(E102,0)))</f>
      </c>
      <c r="G102" s="79" t="str">
        <f>IF($B101="","",IF($B101+1&gt;'Oneri mensili'!$C$4,"",(F102-E102)+1)/DAY(F102))</f>
      </c>
      <c r="H102" s="80"/>
      <c r="I102" s="81" t="str">
        <f>IF($B101="","",IF($B101+1&gt;'Oneri mensili'!$C$4,"",I101-J101))</f>
      </c>
      <c r="J102" s="81" t="str">
        <f>IF($B101="","",IF($B101+1&gt;'Oneri mensili'!$C$4,"",IF(B101&lt;'Oneri mensili'!$C$11-1,0,IF('Oneri mensili'!$C$10=dropdowns!$B$186,'Oneri mensili'!$J$3,IF('Oneri mensili'!$C$10=dropdowns!$B$185,IFERROR('Oneri mensili'!$J$3-K102,0),0)))))</f>
      </c>
      <c r="K102" s="81" t="str">
        <f>IF($B101="","",IF($B101+1&gt;'Oneri mensili'!$C$4,"",G102*I102*'Oneri mensili'!$C$8))</f>
      </c>
      <c r="L102" s="81" t="str">
        <f t="shared" si="7"/>
      </c>
      <c r="M102" s="81" t="str">
        <f t="shared" si="5"/>
      </c>
      <c r="N102" s="80"/>
      <c r="O102" s="82" t="str">
        <f>IF($B102="","",'Oneri mensili'!$C$8)</f>
      </c>
      <c r="P102" s="82" t="str">
        <f>IF($B102="","",'Oneri mensili'!$C$8*(POWER(1+'Oneri mensili'!$C$8,$B102-1+1)))</f>
      </c>
      <c r="Q102" s="82" t="str">
        <f t="shared" si="8"/>
      </c>
      <c r="R102" s="80"/>
      <c r="S102" s="81" t="str">
        <f t="shared" si="6"/>
      </c>
      <c r="T102" s="81" t="str">
        <f>IF(S102="","",J102/(POWER(1+'Oneri mensili'!$C$8,$B102-1+1)))</f>
      </c>
      <c r="U102" s="83" t="str">
        <f t="shared" si="9"/>
      </c>
      <c r="V102" s="81" t="str">
        <f>IF($B102="","",K102/(POWER(1+'Oneri mensili'!$C$8,$B102-1+1)))</f>
      </c>
      <c r="W102" s="80"/>
    </row>
    <row r="103" spans="1:23" s="85" customFormat="1">
      <c r="A103" s="76"/>
      <c r="B103" s="77" t="str">
        <f>IF($B102="","",IF($B102+1&gt;'Oneri mensili'!$C$4,"",Schema!B102+1))</f>
      </c>
      <c r="C103" s="78" t="str">
        <f>IF($B102="","",IF($B102+1&gt;'Oneri mensili'!$C$4,"",EOMONTH(C102,0)+1))</f>
      </c>
      <c r="D103" s="76"/>
      <c r="E103" s="78" t="str">
        <f>IF($B102="","",IF($B102+1&gt;'Oneri mensili'!$C$4,"",F102+1))</f>
      </c>
      <c r="F103" s="78" t="str">
        <f>IF($B102="","",IF($B102+1&gt;'Oneri mensili'!$C$4,"",EOMONTH(E103,0)))</f>
      </c>
      <c r="G103" s="79" t="str">
        <f>IF($B102="","",IF($B102+1&gt;'Oneri mensili'!$C$4,"",(F103-E103)+1)/DAY(F103))</f>
      </c>
      <c r="H103" s="80"/>
      <c r="I103" s="81" t="str">
        <f>IF($B102="","",IF($B102+1&gt;'Oneri mensili'!$C$4,"",I102-J102))</f>
      </c>
      <c r="J103" s="81" t="str">
        <f>IF($B102="","",IF($B102+1&gt;'Oneri mensili'!$C$4,"",IF(B102&lt;'Oneri mensili'!$C$11-1,0,IF('Oneri mensili'!$C$10=dropdowns!$B$186,'Oneri mensili'!$J$3,IF('Oneri mensili'!$C$10=dropdowns!$B$185,IFERROR('Oneri mensili'!$J$3-K103,0),0)))))</f>
      </c>
      <c r="K103" s="81" t="str">
        <f>IF($B102="","",IF($B102+1&gt;'Oneri mensili'!$C$4,"",G103*I103*'Oneri mensili'!$C$8))</f>
      </c>
      <c r="L103" s="81" t="str">
        <f t="shared" si="7"/>
      </c>
      <c r="M103" s="81" t="str">
        <f t="shared" si="5"/>
      </c>
      <c r="N103" s="80"/>
      <c r="O103" s="82" t="str">
        <f>IF($B103="","",'Oneri mensili'!$C$8)</f>
      </c>
      <c r="P103" s="82" t="str">
        <f>IF($B103="","",'Oneri mensili'!$C$8*(POWER(1+'Oneri mensili'!$C$8,$B103-1+1)))</f>
      </c>
      <c r="Q103" s="82" t="str">
        <f t="shared" si="8"/>
      </c>
      <c r="R103" s="80"/>
      <c r="S103" s="81" t="str">
        <f t="shared" si="6"/>
      </c>
      <c r="T103" s="81" t="str">
        <f>IF(S103="","",J103/(POWER(1+'Oneri mensili'!$C$8,$B103-1+1)))</f>
      </c>
      <c r="U103" s="83" t="str">
        <f t="shared" si="9"/>
      </c>
      <c r="V103" s="81" t="str">
        <f>IF($B103="","",K103/(POWER(1+'Oneri mensili'!$C$8,$B103-1+1)))</f>
      </c>
      <c r="W103" s="80"/>
    </row>
    <row r="104" spans="1:23" s="85" customFormat="1">
      <c r="A104" s="76"/>
      <c r="B104" s="77" t="str">
        <f>IF($B103="","",IF($B103+1&gt;'Oneri mensili'!$C$4,"",Schema!B103+1))</f>
      </c>
      <c r="C104" s="78" t="str">
        <f>IF($B103="","",IF($B103+1&gt;'Oneri mensili'!$C$4,"",EOMONTH(C103,0)+1))</f>
      </c>
      <c r="D104" s="76"/>
      <c r="E104" s="78" t="str">
        <f>IF($B103="","",IF($B103+1&gt;'Oneri mensili'!$C$4,"",F103+1))</f>
      </c>
      <c r="F104" s="78" t="str">
        <f>IF($B103="","",IF($B103+1&gt;'Oneri mensili'!$C$4,"",EOMONTH(E104,0)))</f>
      </c>
      <c r="G104" s="79" t="str">
        <f>IF($B103="","",IF($B103+1&gt;'Oneri mensili'!$C$4,"",(F104-E104)+1)/DAY(F104))</f>
      </c>
      <c r="H104" s="80"/>
      <c r="I104" s="81" t="str">
        <f>IF($B103="","",IF($B103+1&gt;'Oneri mensili'!$C$4,"",I103-J103))</f>
      </c>
      <c r="J104" s="81" t="str">
        <f>IF($B103="","",IF($B103+1&gt;'Oneri mensili'!$C$4,"",IF(B103&lt;'Oneri mensili'!$C$11-1,0,IF('Oneri mensili'!$C$10=dropdowns!$B$186,'Oneri mensili'!$J$3,IF('Oneri mensili'!$C$10=dropdowns!$B$185,IFERROR('Oneri mensili'!$J$3-K104,0),0)))))</f>
      </c>
      <c r="K104" s="81" t="str">
        <f>IF($B103="","",IF($B103+1&gt;'Oneri mensili'!$C$4,"",G104*I104*'Oneri mensili'!$C$8))</f>
      </c>
      <c r="L104" s="81" t="str">
        <f t="shared" si="7"/>
      </c>
      <c r="M104" s="81" t="str">
        <f t="shared" si="5"/>
      </c>
      <c r="N104" s="80"/>
      <c r="O104" s="82" t="str">
        <f>IF($B104="","",'Oneri mensili'!$C$8)</f>
      </c>
      <c r="P104" s="82" t="str">
        <f>IF($B104="","",'Oneri mensili'!$C$8*(POWER(1+'Oneri mensili'!$C$8,$B104-1+1)))</f>
      </c>
      <c r="Q104" s="82" t="str">
        <f t="shared" si="8"/>
      </c>
      <c r="R104" s="80"/>
      <c r="S104" s="81" t="str">
        <f t="shared" si="6"/>
      </c>
      <c r="T104" s="81" t="str">
        <f>IF(S104="","",J104/(POWER(1+'Oneri mensili'!$C$8,$B104-1+1)))</f>
      </c>
      <c r="U104" s="83" t="str">
        <f t="shared" si="9"/>
      </c>
      <c r="V104" s="81" t="str">
        <f>IF($B104="","",K104/(POWER(1+'Oneri mensili'!$C$8,$B104-1+1)))</f>
      </c>
      <c r="W104" s="80"/>
    </row>
    <row r="105" spans="1:23" s="85" customFormat="1">
      <c r="A105" s="76"/>
      <c r="B105" s="77" t="str">
        <f>IF($B104="","",IF($B104+1&gt;'Oneri mensili'!$C$4,"",Schema!B104+1))</f>
      </c>
      <c r="C105" s="78" t="str">
        <f>IF($B104="","",IF($B104+1&gt;'Oneri mensili'!$C$4,"",EOMONTH(C104,0)+1))</f>
      </c>
      <c r="D105" s="76"/>
      <c r="E105" s="78" t="str">
        <f>IF($B104="","",IF($B104+1&gt;'Oneri mensili'!$C$4,"",F104+1))</f>
      </c>
      <c r="F105" s="78" t="str">
        <f>IF($B104="","",IF($B104+1&gt;'Oneri mensili'!$C$4,"",EOMONTH(E105,0)))</f>
      </c>
      <c r="G105" s="79" t="str">
        <f>IF($B104="","",IF($B104+1&gt;'Oneri mensili'!$C$4,"",(F105-E105)+1)/DAY(F105))</f>
      </c>
      <c r="H105" s="80"/>
      <c r="I105" s="81" t="str">
        <f>IF($B104="","",IF($B104+1&gt;'Oneri mensili'!$C$4,"",I104-J104))</f>
      </c>
      <c r="J105" s="81" t="str">
        <f>IF($B104="","",IF($B104+1&gt;'Oneri mensili'!$C$4,"",IF(B104&lt;'Oneri mensili'!$C$11-1,0,IF('Oneri mensili'!$C$10=dropdowns!$B$186,'Oneri mensili'!$J$3,IF('Oneri mensili'!$C$10=dropdowns!$B$185,IFERROR('Oneri mensili'!$J$3-K105,0),0)))))</f>
      </c>
      <c r="K105" s="81" t="str">
        <f>IF($B104="","",IF($B104+1&gt;'Oneri mensili'!$C$4,"",G105*I105*'Oneri mensili'!$C$8))</f>
      </c>
      <c r="L105" s="81" t="str">
        <f t="shared" si="7"/>
      </c>
      <c r="M105" s="81" t="str">
        <f t="shared" si="5"/>
      </c>
      <c r="N105" s="80"/>
      <c r="O105" s="82" t="str">
        <f>IF($B105="","",'Oneri mensili'!$C$8)</f>
      </c>
      <c r="P105" s="82" t="str">
        <f>IF($B105="","",'Oneri mensili'!$C$8*(POWER(1+'Oneri mensili'!$C$8,$B105-1+1)))</f>
      </c>
      <c r="Q105" s="82" t="str">
        <f t="shared" si="8"/>
      </c>
      <c r="R105" s="80"/>
      <c r="S105" s="81" t="str">
        <f t="shared" si="6"/>
      </c>
      <c r="T105" s="81" t="str">
        <f>IF(S105="","",J105/(POWER(1+'Oneri mensili'!$C$8,$B105-1+1)))</f>
      </c>
      <c r="U105" s="83" t="str">
        <f t="shared" si="9"/>
      </c>
      <c r="V105" s="81" t="str">
        <f>IF($B105="","",K105/(POWER(1+'Oneri mensili'!$C$8,$B105-1+1)))</f>
      </c>
      <c r="W105" s="80"/>
    </row>
    <row r="106" spans="1:23" s="85" customFormat="1">
      <c r="A106" s="76"/>
      <c r="B106" s="77" t="str">
        <f>IF($B105="","",IF($B105+1&gt;'Oneri mensili'!$C$4,"",Schema!B105+1))</f>
      </c>
      <c r="C106" s="78" t="str">
        <f>IF($B105="","",IF($B105+1&gt;'Oneri mensili'!$C$4,"",EOMONTH(C105,0)+1))</f>
      </c>
      <c r="D106" s="76"/>
      <c r="E106" s="78" t="str">
        <f>IF($B105="","",IF($B105+1&gt;'Oneri mensili'!$C$4,"",F105+1))</f>
      </c>
      <c r="F106" s="78" t="str">
        <f>IF($B105="","",IF($B105+1&gt;'Oneri mensili'!$C$4,"",EOMONTH(E106,0)))</f>
      </c>
      <c r="G106" s="79" t="str">
        <f>IF($B105="","",IF($B105+1&gt;'Oneri mensili'!$C$4,"",(F106-E106)+1)/DAY(F106))</f>
      </c>
      <c r="H106" s="80"/>
      <c r="I106" s="81" t="str">
        <f>IF($B105="","",IF($B105+1&gt;'Oneri mensili'!$C$4,"",I105-J105))</f>
      </c>
      <c r="J106" s="81" t="str">
        <f>IF($B105="","",IF($B105+1&gt;'Oneri mensili'!$C$4,"",IF(B105&lt;'Oneri mensili'!$C$11-1,0,IF('Oneri mensili'!$C$10=dropdowns!$B$186,'Oneri mensili'!$J$3,IF('Oneri mensili'!$C$10=dropdowns!$B$185,IFERROR('Oneri mensili'!$J$3-K106,0),0)))))</f>
      </c>
      <c r="K106" s="81" t="str">
        <f>IF($B105="","",IF($B105+1&gt;'Oneri mensili'!$C$4,"",G106*I106*'Oneri mensili'!$C$8))</f>
      </c>
      <c r="L106" s="81" t="str">
        <f t="shared" si="7"/>
      </c>
      <c r="M106" s="81" t="str">
        <f t="shared" si="5"/>
      </c>
      <c r="N106" s="80"/>
      <c r="O106" s="82" t="str">
        <f>IF($B106="","",'Oneri mensili'!$C$8)</f>
      </c>
      <c r="P106" s="82" t="str">
        <f>IF($B106="","",'Oneri mensili'!$C$8*(POWER(1+'Oneri mensili'!$C$8,$B106-1+1)))</f>
      </c>
      <c r="Q106" s="82" t="str">
        <f t="shared" si="8"/>
      </c>
      <c r="R106" s="80"/>
      <c r="S106" s="81" t="str">
        <f t="shared" si="6"/>
      </c>
      <c r="T106" s="81" t="str">
        <f>IF(S106="","",J106/(POWER(1+'Oneri mensili'!$C$8,$B106-1+1)))</f>
      </c>
      <c r="U106" s="83" t="str">
        <f t="shared" si="9"/>
      </c>
      <c r="V106" s="81" t="str">
        <f>IF($B106="","",K106/(POWER(1+'Oneri mensili'!$C$8,$B106-1+1)))</f>
      </c>
      <c r="W106" s="80"/>
    </row>
    <row r="107" spans="1:23" s="85" customFormat="1">
      <c r="A107" s="76"/>
      <c r="B107" s="77" t="str">
        <f>IF($B106="","",IF($B106+1&gt;'Oneri mensili'!$C$4,"",Schema!B106+1))</f>
      </c>
      <c r="C107" s="78" t="str">
        <f>IF($B106="","",IF($B106+1&gt;'Oneri mensili'!$C$4,"",EOMONTH(C106,0)+1))</f>
      </c>
      <c r="D107" s="76"/>
      <c r="E107" s="78" t="str">
        <f>IF($B106="","",IF($B106+1&gt;'Oneri mensili'!$C$4,"",F106+1))</f>
      </c>
      <c r="F107" s="78" t="str">
        <f>IF($B106="","",IF($B106+1&gt;'Oneri mensili'!$C$4,"",EOMONTH(E107,0)))</f>
      </c>
      <c r="G107" s="79" t="str">
        <f>IF($B106="","",IF($B106+1&gt;'Oneri mensili'!$C$4,"",(F107-E107)+1)/DAY(F107))</f>
      </c>
      <c r="H107" s="80"/>
      <c r="I107" s="81" t="str">
        <f>IF($B106="","",IF($B106+1&gt;'Oneri mensili'!$C$4,"",I106-J106))</f>
      </c>
      <c r="J107" s="81" t="str">
        <f>IF($B106="","",IF($B106+1&gt;'Oneri mensili'!$C$4,"",IF(B106&lt;'Oneri mensili'!$C$11-1,0,IF('Oneri mensili'!$C$10=dropdowns!$B$186,'Oneri mensili'!$J$3,IF('Oneri mensili'!$C$10=dropdowns!$B$185,IFERROR('Oneri mensili'!$J$3-K107,0),0)))))</f>
      </c>
      <c r="K107" s="81" t="str">
        <f>IF($B106="","",IF($B106+1&gt;'Oneri mensili'!$C$4,"",G107*I107*'Oneri mensili'!$C$8))</f>
      </c>
      <c r="L107" s="81" t="str">
        <f t="shared" si="7"/>
      </c>
      <c r="M107" s="81" t="str">
        <f t="shared" si="5"/>
      </c>
      <c r="N107" s="80"/>
      <c r="O107" s="82" t="str">
        <f>IF($B107="","",'Oneri mensili'!$C$8)</f>
      </c>
      <c r="P107" s="82" t="str">
        <f>IF($B107="","",'Oneri mensili'!$C$8*(POWER(1+'Oneri mensili'!$C$8,$B107-1+1)))</f>
      </c>
      <c r="Q107" s="82" t="str">
        <f t="shared" si="8"/>
      </c>
      <c r="R107" s="80"/>
      <c r="S107" s="81" t="str">
        <f t="shared" si="6"/>
      </c>
      <c r="T107" s="81" t="str">
        <f>IF(S107="","",J107/(POWER(1+'Oneri mensili'!$C$8,$B107-1+1)))</f>
      </c>
      <c r="U107" s="83" t="str">
        <f t="shared" si="9"/>
      </c>
      <c r="V107" s="81" t="str">
        <f>IF($B107="","",K107/(POWER(1+'Oneri mensili'!$C$8,$B107-1+1)))</f>
      </c>
      <c r="W107" s="80"/>
    </row>
    <row r="108" spans="1:23" s="85" customFormat="1">
      <c r="A108" s="76"/>
      <c r="B108" s="77" t="str">
        <f>IF($B107="","",IF($B107+1&gt;'Oneri mensili'!$C$4,"",Schema!B107+1))</f>
      </c>
      <c r="C108" s="78" t="str">
        <f>IF($B107="","",IF($B107+1&gt;'Oneri mensili'!$C$4,"",EOMONTH(C107,0)+1))</f>
      </c>
      <c r="D108" s="76"/>
      <c r="E108" s="78" t="str">
        <f>IF($B107="","",IF($B107+1&gt;'Oneri mensili'!$C$4,"",F107+1))</f>
      </c>
      <c r="F108" s="78" t="str">
        <f>IF($B107="","",IF($B107+1&gt;'Oneri mensili'!$C$4,"",EOMONTH(E108,0)))</f>
      </c>
      <c r="G108" s="79" t="str">
        <f>IF($B107="","",IF($B107+1&gt;'Oneri mensili'!$C$4,"",(F108-E108)+1)/DAY(F108))</f>
      </c>
      <c r="H108" s="80"/>
      <c r="I108" s="81" t="str">
        <f>IF($B107="","",IF($B107+1&gt;'Oneri mensili'!$C$4,"",I107-J107))</f>
      </c>
      <c r="J108" s="81" t="str">
        <f>IF($B107="","",IF($B107+1&gt;'Oneri mensili'!$C$4,"",IF(B107&lt;'Oneri mensili'!$C$11-1,0,IF('Oneri mensili'!$C$10=dropdowns!$B$186,'Oneri mensili'!$J$3,IF('Oneri mensili'!$C$10=dropdowns!$B$185,IFERROR('Oneri mensili'!$J$3-K108,0),0)))))</f>
      </c>
      <c r="K108" s="81" t="str">
        <f>IF($B107="","",IF($B107+1&gt;'Oneri mensili'!$C$4,"",G108*I108*'Oneri mensili'!$C$8))</f>
      </c>
      <c r="L108" s="81" t="str">
        <f t="shared" si="7"/>
      </c>
      <c r="M108" s="81" t="str">
        <f t="shared" si="5"/>
      </c>
      <c r="N108" s="80"/>
      <c r="O108" s="82" t="str">
        <f>IF($B108="","",'Oneri mensili'!$C$8)</f>
      </c>
      <c r="P108" s="82" t="str">
        <f>IF($B108="","",'Oneri mensili'!$C$8*(POWER(1+'Oneri mensili'!$C$8,$B108-1+1)))</f>
      </c>
      <c r="Q108" s="82" t="str">
        <f t="shared" si="8"/>
      </c>
      <c r="R108" s="80"/>
      <c r="S108" s="81" t="str">
        <f t="shared" si="6"/>
      </c>
      <c r="T108" s="81" t="str">
        <f>IF(S108="","",J108/(POWER(1+'Oneri mensili'!$C$8,$B108-1+1)))</f>
      </c>
      <c r="U108" s="83" t="str">
        <f t="shared" si="9"/>
      </c>
      <c r="V108" s="81" t="str">
        <f>IF($B108="","",K108/(POWER(1+'Oneri mensili'!$C$8,$B108-1+1)))</f>
      </c>
      <c r="W108" s="80"/>
    </row>
    <row r="109" spans="1:23" s="85" customFormat="1">
      <c r="A109" s="76"/>
      <c r="B109" s="77" t="str">
        <f>IF($B108="","",IF($B108+1&gt;'Oneri mensili'!$C$4,"",Schema!B108+1))</f>
      </c>
      <c r="C109" s="78" t="str">
        <f>IF($B108="","",IF($B108+1&gt;'Oneri mensili'!$C$4,"",EOMONTH(C108,0)+1))</f>
      </c>
      <c r="D109" s="76"/>
      <c r="E109" s="78" t="str">
        <f>IF($B108="","",IF($B108+1&gt;'Oneri mensili'!$C$4,"",F108+1))</f>
      </c>
      <c r="F109" s="78" t="str">
        <f>IF($B108="","",IF($B108+1&gt;'Oneri mensili'!$C$4,"",EOMONTH(E109,0)))</f>
      </c>
      <c r="G109" s="79" t="str">
        <f>IF($B108="","",IF($B108+1&gt;'Oneri mensili'!$C$4,"",(F109-E109)+1)/DAY(F109))</f>
      </c>
      <c r="H109" s="80"/>
      <c r="I109" s="81" t="str">
        <f>IF($B108="","",IF($B108+1&gt;'Oneri mensili'!$C$4,"",I108-J108))</f>
      </c>
      <c r="J109" s="81" t="str">
        <f>IF($B108="","",IF($B108+1&gt;'Oneri mensili'!$C$4,"",IF(B108&lt;'Oneri mensili'!$C$11-1,0,IF('Oneri mensili'!$C$10=dropdowns!$B$186,'Oneri mensili'!$J$3,IF('Oneri mensili'!$C$10=dropdowns!$B$185,IFERROR('Oneri mensili'!$J$3-K109,0),0)))))</f>
      </c>
      <c r="K109" s="81" t="str">
        <f>IF($B108="","",IF($B108+1&gt;'Oneri mensili'!$C$4,"",G109*I109*'Oneri mensili'!$C$8))</f>
      </c>
      <c r="L109" s="81" t="str">
        <f t="shared" si="7"/>
      </c>
      <c r="M109" s="81" t="str">
        <f t="shared" si="5"/>
      </c>
      <c r="N109" s="80"/>
      <c r="O109" s="82" t="str">
        <f>IF($B109="","",'Oneri mensili'!$C$8)</f>
      </c>
      <c r="P109" s="82" t="str">
        <f>IF($B109="","",'Oneri mensili'!$C$8*(POWER(1+'Oneri mensili'!$C$8,$B109-1+1)))</f>
      </c>
      <c r="Q109" s="82" t="str">
        <f t="shared" si="8"/>
      </c>
      <c r="R109" s="80"/>
      <c r="S109" s="81" t="str">
        <f t="shared" si="6"/>
      </c>
      <c r="T109" s="81" t="str">
        <f>IF(S109="","",J109/(POWER(1+'Oneri mensili'!$C$8,$B109-1+1)))</f>
      </c>
      <c r="U109" s="83" t="str">
        <f t="shared" si="9"/>
      </c>
      <c r="V109" s="81" t="str">
        <f>IF($B109="","",K109/(POWER(1+'Oneri mensili'!$C$8,$B109-1+1)))</f>
      </c>
      <c r="W109" s="80"/>
    </row>
    <row r="110" spans="1:23" s="85" customFormat="1">
      <c r="A110" s="76"/>
      <c r="B110" s="77" t="str">
        <f>IF($B109="","",IF($B109+1&gt;'Oneri mensili'!$C$4,"",Schema!B109+1))</f>
      </c>
      <c r="C110" s="78" t="str">
        <f>IF($B109="","",IF($B109+1&gt;'Oneri mensili'!$C$4,"",EOMONTH(C109,0)+1))</f>
      </c>
      <c r="D110" s="76"/>
      <c r="E110" s="78" t="str">
        <f>IF($B109="","",IF($B109+1&gt;'Oneri mensili'!$C$4,"",F109+1))</f>
      </c>
      <c r="F110" s="78" t="str">
        <f>IF($B109="","",IF($B109+1&gt;'Oneri mensili'!$C$4,"",EOMONTH(E110,0)))</f>
      </c>
      <c r="G110" s="79" t="str">
        <f>IF($B109="","",IF($B109+1&gt;'Oneri mensili'!$C$4,"",(F110-E110)+1)/DAY(F110))</f>
      </c>
      <c r="H110" s="80"/>
      <c r="I110" s="81" t="str">
        <f>IF($B109="","",IF($B109+1&gt;'Oneri mensili'!$C$4,"",I109-J109))</f>
      </c>
      <c r="J110" s="81" t="str">
        <f>IF($B109="","",IF($B109+1&gt;'Oneri mensili'!$C$4,"",IF(B109&lt;'Oneri mensili'!$C$11-1,0,IF('Oneri mensili'!$C$10=dropdowns!$B$186,'Oneri mensili'!$J$3,IF('Oneri mensili'!$C$10=dropdowns!$B$185,IFERROR('Oneri mensili'!$J$3-K110,0),0)))))</f>
      </c>
      <c r="K110" s="81" t="str">
        <f>IF($B109="","",IF($B109+1&gt;'Oneri mensili'!$C$4,"",G110*I110*'Oneri mensili'!$C$8))</f>
      </c>
      <c r="L110" s="81" t="str">
        <f t="shared" si="7"/>
      </c>
      <c r="M110" s="81" t="str">
        <f t="shared" si="5"/>
      </c>
      <c r="N110" s="80"/>
      <c r="O110" s="82" t="str">
        <f>IF($B110="","",'Oneri mensili'!$C$8)</f>
      </c>
      <c r="P110" s="82" t="str">
        <f>IF($B110="","",'Oneri mensili'!$C$8*(POWER(1+'Oneri mensili'!$C$8,$B110-1+1)))</f>
      </c>
      <c r="Q110" s="82" t="str">
        <f t="shared" si="8"/>
      </c>
      <c r="R110" s="80"/>
      <c r="S110" s="81" t="str">
        <f t="shared" si="6"/>
      </c>
      <c r="T110" s="81" t="str">
        <f>IF(S110="","",J110/(POWER(1+'Oneri mensili'!$C$8,$B110-1+1)))</f>
      </c>
      <c r="U110" s="83" t="str">
        <f t="shared" si="9"/>
      </c>
      <c r="V110" s="81" t="str">
        <f>IF($B110="","",K110/(POWER(1+'Oneri mensili'!$C$8,$B110-1+1)))</f>
      </c>
      <c r="W110" s="80"/>
    </row>
    <row r="111" spans="1:23" s="85" customFormat="1">
      <c r="A111" s="76"/>
      <c r="B111" s="77" t="str">
        <f>IF($B110="","",IF($B110+1&gt;'Oneri mensili'!$C$4,"",Schema!B110+1))</f>
      </c>
      <c r="C111" s="78" t="str">
        <f>IF($B110="","",IF($B110+1&gt;'Oneri mensili'!$C$4,"",EOMONTH(C110,0)+1))</f>
      </c>
      <c r="D111" s="76"/>
      <c r="E111" s="78" t="str">
        <f>IF($B110="","",IF($B110+1&gt;'Oneri mensili'!$C$4,"",F110+1))</f>
      </c>
      <c r="F111" s="78" t="str">
        <f>IF($B110="","",IF($B110+1&gt;'Oneri mensili'!$C$4,"",EOMONTH(E111,0)))</f>
      </c>
      <c r="G111" s="79" t="str">
        <f>IF($B110="","",IF($B110+1&gt;'Oneri mensili'!$C$4,"",(F111-E111)+1)/DAY(F111))</f>
      </c>
      <c r="H111" s="80"/>
      <c r="I111" s="81" t="str">
        <f>IF($B110="","",IF($B110+1&gt;'Oneri mensili'!$C$4,"",I110-J110))</f>
      </c>
      <c r="J111" s="81" t="str">
        <f>IF($B110="","",IF($B110+1&gt;'Oneri mensili'!$C$4,"",IF(B110&lt;'Oneri mensili'!$C$11-1,0,IF('Oneri mensili'!$C$10=dropdowns!$B$186,'Oneri mensili'!$J$3,IF('Oneri mensili'!$C$10=dropdowns!$B$185,IFERROR('Oneri mensili'!$J$3-K111,0),0)))))</f>
      </c>
      <c r="K111" s="81" t="str">
        <f>IF($B110="","",IF($B110+1&gt;'Oneri mensili'!$C$4,"",G111*I111*'Oneri mensili'!$C$8))</f>
      </c>
      <c r="L111" s="81" t="str">
        <f t="shared" si="7"/>
      </c>
      <c r="M111" s="81" t="str">
        <f t="shared" si="5"/>
      </c>
      <c r="N111" s="80"/>
      <c r="O111" s="82" t="str">
        <f>IF($B111="","",'Oneri mensili'!$C$8)</f>
      </c>
      <c r="P111" s="82" t="str">
        <f>IF($B111="","",'Oneri mensili'!$C$8*(POWER(1+'Oneri mensili'!$C$8,$B111-1+1)))</f>
      </c>
      <c r="Q111" s="82" t="str">
        <f t="shared" si="8"/>
      </c>
      <c r="R111" s="80"/>
      <c r="S111" s="81" t="str">
        <f t="shared" si="6"/>
      </c>
      <c r="T111" s="81" t="str">
        <f>IF(S111="","",J111/(POWER(1+'Oneri mensili'!$C$8,$B111-1+1)))</f>
      </c>
      <c r="U111" s="83" t="str">
        <f t="shared" si="9"/>
      </c>
      <c r="V111" s="81" t="str">
        <f>IF($B111="","",K111/(POWER(1+'Oneri mensili'!$C$8,$B111-1+1)))</f>
      </c>
      <c r="W111" s="80"/>
    </row>
    <row r="112" spans="1:23" s="85" customFormat="1">
      <c r="A112" s="76"/>
      <c r="B112" s="77" t="str">
        <f>IF($B111="","",IF($B111+1&gt;'Oneri mensili'!$C$4,"",Schema!B111+1))</f>
      </c>
      <c r="C112" s="78" t="str">
        <f>IF($B111="","",IF($B111+1&gt;'Oneri mensili'!$C$4,"",EOMONTH(C111,0)+1))</f>
      </c>
      <c r="D112" s="76"/>
      <c r="E112" s="78" t="str">
        <f>IF($B111="","",IF($B111+1&gt;'Oneri mensili'!$C$4,"",F111+1))</f>
      </c>
      <c r="F112" s="78" t="str">
        <f>IF($B111="","",IF($B111+1&gt;'Oneri mensili'!$C$4,"",EOMONTH(E112,0)))</f>
      </c>
      <c r="G112" s="79" t="str">
        <f>IF($B111="","",IF($B111+1&gt;'Oneri mensili'!$C$4,"",(F112-E112)+1)/DAY(F112))</f>
      </c>
      <c r="H112" s="80"/>
      <c r="I112" s="81" t="str">
        <f>IF($B111="","",IF($B111+1&gt;'Oneri mensili'!$C$4,"",I111-J111))</f>
      </c>
      <c r="J112" s="81" t="str">
        <f>IF($B111="","",IF($B111+1&gt;'Oneri mensili'!$C$4,"",IF(B111&lt;'Oneri mensili'!$C$11-1,0,IF('Oneri mensili'!$C$10=dropdowns!$B$186,'Oneri mensili'!$J$3,IF('Oneri mensili'!$C$10=dropdowns!$B$185,IFERROR('Oneri mensili'!$J$3-K112,0),0)))))</f>
      </c>
      <c r="K112" s="81" t="str">
        <f>IF($B111="","",IF($B111+1&gt;'Oneri mensili'!$C$4,"",G112*I112*'Oneri mensili'!$C$8))</f>
      </c>
      <c r="L112" s="81" t="str">
        <f t="shared" si="7"/>
      </c>
      <c r="M112" s="81" t="str">
        <f t="shared" si="5"/>
      </c>
      <c r="N112" s="80"/>
      <c r="O112" s="82" t="str">
        <f>IF($B112="","",'Oneri mensili'!$C$8)</f>
      </c>
      <c r="P112" s="82" t="str">
        <f>IF($B112="","",'Oneri mensili'!$C$8*(POWER(1+'Oneri mensili'!$C$8,$B112-1+1)))</f>
      </c>
      <c r="Q112" s="82" t="str">
        <f t="shared" si="8"/>
      </c>
      <c r="R112" s="80"/>
      <c r="S112" s="81" t="str">
        <f t="shared" si="6"/>
      </c>
      <c r="T112" s="81" t="str">
        <f>IF(S112="","",J112/(POWER(1+'Oneri mensili'!$C$8,$B112-1+1)))</f>
      </c>
      <c r="U112" s="83" t="str">
        <f t="shared" si="9"/>
      </c>
      <c r="V112" s="81" t="str">
        <f>IF($B112="","",K112/(POWER(1+'Oneri mensili'!$C$8,$B112-1+1)))</f>
      </c>
      <c r="W112" s="80"/>
    </row>
    <row r="113" spans="1:23" s="85" customFormat="1">
      <c r="A113" s="76"/>
      <c r="B113" s="77" t="str">
        <f>IF($B112="","",IF($B112+1&gt;'Oneri mensili'!$C$4,"",Schema!B112+1))</f>
      </c>
      <c r="C113" s="78" t="str">
        <f>IF($B112="","",IF($B112+1&gt;'Oneri mensili'!$C$4,"",EOMONTH(C112,0)+1))</f>
      </c>
      <c r="D113" s="76"/>
      <c r="E113" s="78" t="str">
        <f>IF($B112="","",IF($B112+1&gt;'Oneri mensili'!$C$4,"",F112+1))</f>
      </c>
      <c r="F113" s="78" t="str">
        <f>IF($B112="","",IF($B112+1&gt;'Oneri mensili'!$C$4,"",EOMONTH(E113,0)))</f>
      </c>
      <c r="G113" s="79" t="str">
        <f>IF($B112="","",IF($B112+1&gt;'Oneri mensili'!$C$4,"",(F113-E113)+1)/DAY(F113))</f>
      </c>
      <c r="H113" s="80"/>
      <c r="I113" s="81" t="str">
        <f>IF($B112="","",IF($B112+1&gt;'Oneri mensili'!$C$4,"",I112-J112))</f>
      </c>
      <c r="J113" s="81" t="str">
        <f>IF($B112="","",IF($B112+1&gt;'Oneri mensili'!$C$4,"",IF(B112&lt;'Oneri mensili'!$C$11-1,0,IF('Oneri mensili'!$C$10=dropdowns!$B$186,'Oneri mensili'!$J$3,IF('Oneri mensili'!$C$10=dropdowns!$B$185,IFERROR('Oneri mensili'!$J$3-K113,0),0)))))</f>
      </c>
      <c r="K113" s="81" t="str">
        <f>IF($B112="","",IF($B112+1&gt;'Oneri mensili'!$C$4,"",G113*I113*'Oneri mensili'!$C$8))</f>
      </c>
      <c r="L113" s="81" t="str">
        <f t="shared" si="7"/>
      </c>
      <c r="M113" s="81" t="str">
        <f t="shared" si="5"/>
      </c>
      <c r="N113" s="80"/>
      <c r="O113" s="82" t="str">
        <f>IF($B113="","",'Oneri mensili'!$C$8)</f>
      </c>
      <c r="P113" s="82" t="str">
        <f>IF($B113="","",'Oneri mensili'!$C$8*(POWER(1+'Oneri mensili'!$C$8,$B113-1+1)))</f>
      </c>
      <c r="Q113" s="82" t="str">
        <f t="shared" si="8"/>
      </c>
      <c r="R113" s="80"/>
      <c r="S113" s="81" t="str">
        <f t="shared" si="6"/>
      </c>
      <c r="T113" s="81" t="str">
        <f>IF(S113="","",J113/(POWER(1+'Oneri mensili'!$C$8,$B113-1+1)))</f>
      </c>
      <c r="U113" s="83" t="str">
        <f t="shared" si="9"/>
      </c>
      <c r="V113" s="81" t="str">
        <f>IF($B113="","",K113/(POWER(1+'Oneri mensili'!$C$8,$B113-1+1)))</f>
      </c>
      <c r="W113" s="80"/>
    </row>
    <row r="114" spans="1:23" s="85" customFormat="1">
      <c r="A114" s="76"/>
      <c r="B114" s="77" t="str">
        <f>IF($B113="","",IF($B113+1&gt;'Oneri mensili'!$C$4,"",Schema!B113+1))</f>
      </c>
      <c r="C114" s="78" t="str">
        <f>IF($B113="","",IF($B113+1&gt;'Oneri mensili'!$C$4,"",EOMONTH(C113,0)+1))</f>
      </c>
      <c r="D114" s="76"/>
      <c r="E114" s="78" t="str">
        <f>IF($B113="","",IF($B113+1&gt;'Oneri mensili'!$C$4,"",F113+1))</f>
      </c>
      <c r="F114" s="78" t="str">
        <f>IF($B113="","",IF($B113+1&gt;'Oneri mensili'!$C$4,"",EOMONTH(E114,0)))</f>
      </c>
      <c r="G114" s="79" t="str">
        <f>IF($B113="","",IF($B113+1&gt;'Oneri mensili'!$C$4,"",(F114-E114)+1)/DAY(F114))</f>
      </c>
      <c r="H114" s="80"/>
      <c r="I114" s="81" t="str">
        <f>IF($B113="","",IF($B113+1&gt;'Oneri mensili'!$C$4,"",I113-J113))</f>
      </c>
      <c r="J114" s="81" t="str">
        <f>IF($B113="","",IF($B113+1&gt;'Oneri mensili'!$C$4,"",IF(B113&lt;'Oneri mensili'!$C$11-1,0,IF('Oneri mensili'!$C$10=dropdowns!$B$186,'Oneri mensili'!$J$3,IF('Oneri mensili'!$C$10=dropdowns!$B$185,IFERROR('Oneri mensili'!$J$3-K114,0),0)))))</f>
      </c>
      <c r="K114" s="81" t="str">
        <f>IF($B113="","",IF($B113+1&gt;'Oneri mensili'!$C$4,"",G114*I114*'Oneri mensili'!$C$8))</f>
      </c>
      <c r="L114" s="81" t="str">
        <f t="shared" si="7"/>
      </c>
      <c r="M114" s="81" t="str">
        <f t="shared" si="5"/>
      </c>
      <c r="N114" s="80"/>
      <c r="O114" s="82" t="str">
        <f>IF($B114="","",'Oneri mensili'!$C$8)</f>
      </c>
      <c r="P114" s="82" t="str">
        <f>IF($B114="","",'Oneri mensili'!$C$8*(POWER(1+'Oneri mensili'!$C$8,$B114-1+1)))</f>
      </c>
      <c r="Q114" s="82" t="str">
        <f t="shared" si="8"/>
      </c>
      <c r="R114" s="80"/>
      <c r="S114" s="81" t="str">
        <f t="shared" si="6"/>
      </c>
      <c r="T114" s="81" t="str">
        <f>IF(S114="","",J114/(POWER(1+'Oneri mensili'!$C$8,$B114-1+1)))</f>
      </c>
      <c r="U114" s="83" t="str">
        <f t="shared" si="9"/>
      </c>
      <c r="V114" s="81" t="str">
        <f>IF($B114="","",K114/(POWER(1+'Oneri mensili'!$C$8,$B114-1+1)))</f>
      </c>
      <c r="W114" s="80"/>
    </row>
    <row r="115" spans="1:23" s="85" customFormat="1">
      <c r="A115" s="76"/>
      <c r="B115" s="77" t="str">
        <f>IF($B114="","",IF($B114+1&gt;'Oneri mensili'!$C$4,"",Schema!B114+1))</f>
      </c>
      <c r="C115" s="78" t="str">
        <f>IF($B114="","",IF($B114+1&gt;'Oneri mensili'!$C$4,"",EOMONTH(C114,0)+1))</f>
      </c>
      <c r="D115" s="76"/>
      <c r="E115" s="78" t="str">
        <f>IF($B114="","",IF($B114+1&gt;'Oneri mensili'!$C$4,"",F114+1))</f>
      </c>
      <c r="F115" s="78" t="str">
        <f>IF($B114="","",IF($B114+1&gt;'Oneri mensili'!$C$4,"",EOMONTH(E115,0)))</f>
      </c>
      <c r="G115" s="79" t="str">
        <f>IF($B114="","",IF($B114+1&gt;'Oneri mensili'!$C$4,"",(F115-E115)+1)/DAY(F115))</f>
      </c>
      <c r="H115" s="80"/>
      <c r="I115" s="81" t="str">
        <f>IF($B114="","",IF($B114+1&gt;'Oneri mensili'!$C$4,"",I114-J114))</f>
      </c>
      <c r="J115" s="81" t="str">
        <f>IF($B114="","",IF($B114+1&gt;'Oneri mensili'!$C$4,"",IF(B114&lt;'Oneri mensili'!$C$11-1,0,IF('Oneri mensili'!$C$10=dropdowns!$B$186,'Oneri mensili'!$J$3,IF('Oneri mensili'!$C$10=dropdowns!$B$185,IFERROR('Oneri mensili'!$J$3-K115,0),0)))))</f>
      </c>
      <c r="K115" s="81" t="str">
        <f>IF($B114="","",IF($B114+1&gt;'Oneri mensili'!$C$4,"",G115*I115*'Oneri mensili'!$C$8))</f>
      </c>
      <c r="L115" s="81" t="str">
        <f t="shared" si="7"/>
      </c>
      <c r="M115" s="81" t="str">
        <f t="shared" si="5"/>
      </c>
      <c r="N115" s="80"/>
      <c r="O115" s="82" t="str">
        <f>IF($B115="","",'Oneri mensili'!$C$8)</f>
      </c>
      <c r="P115" s="82" t="str">
        <f>IF($B115="","",'Oneri mensili'!$C$8*(POWER(1+'Oneri mensili'!$C$8,$B115-1+1)))</f>
      </c>
      <c r="Q115" s="82" t="str">
        <f t="shared" si="8"/>
      </c>
      <c r="R115" s="80"/>
      <c r="S115" s="81" t="str">
        <f t="shared" si="6"/>
      </c>
      <c r="T115" s="81" t="str">
        <f>IF(S115="","",J115/(POWER(1+'Oneri mensili'!$C$8,$B115-1+1)))</f>
      </c>
      <c r="U115" s="83" t="str">
        <f t="shared" si="9"/>
      </c>
      <c r="V115" s="81" t="str">
        <f>IF($B115="","",K115/(POWER(1+'Oneri mensili'!$C$8,$B115-1+1)))</f>
      </c>
      <c r="W115" s="80"/>
    </row>
    <row r="116" spans="1:23" s="85" customFormat="1">
      <c r="A116" s="76"/>
      <c r="B116" s="77" t="str">
        <f>IF($B115="","",IF($B115+1&gt;'Oneri mensili'!$C$4,"",Schema!B115+1))</f>
      </c>
      <c r="C116" s="78" t="str">
        <f>IF($B115="","",IF($B115+1&gt;'Oneri mensili'!$C$4,"",EOMONTH(C115,0)+1))</f>
      </c>
      <c r="D116" s="76"/>
      <c r="E116" s="78" t="str">
        <f>IF($B115="","",IF($B115+1&gt;'Oneri mensili'!$C$4,"",F115+1))</f>
      </c>
      <c r="F116" s="78" t="str">
        <f>IF($B115="","",IF($B115+1&gt;'Oneri mensili'!$C$4,"",EOMONTH(E116,0)))</f>
      </c>
      <c r="G116" s="79" t="str">
        <f>IF($B115="","",IF($B115+1&gt;'Oneri mensili'!$C$4,"",(F116-E116)+1)/DAY(F116))</f>
      </c>
      <c r="H116" s="80"/>
      <c r="I116" s="81" t="str">
        <f>IF($B115="","",IF($B115+1&gt;'Oneri mensili'!$C$4,"",I115-J115))</f>
      </c>
      <c r="J116" s="81" t="str">
        <f>IF($B115="","",IF($B115+1&gt;'Oneri mensili'!$C$4,"",IF(B115&lt;'Oneri mensili'!$C$11-1,0,IF('Oneri mensili'!$C$10=dropdowns!$B$186,'Oneri mensili'!$J$3,IF('Oneri mensili'!$C$10=dropdowns!$B$185,IFERROR('Oneri mensili'!$J$3-K116,0),0)))))</f>
      </c>
      <c r="K116" s="81" t="str">
        <f>IF($B115="","",IF($B115+1&gt;'Oneri mensili'!$C$4,"",G116*I116*'Oneri mensili'!$C$8))</f>
      </c>
      <c r="L116" s="81" t="str">
        <f t="shared" si="7"/>
      </c>
      <c r="M116" s="81" t="str">
        <f t="shared" si="5"/>
      </c>
      <c r="N116" s="80"/>
      <c r="O116" s="82" t="str">
        <f>IF($B116="","",'Oneri mensili'!$C$8)</f>
      </c>
      <c r="P116" s="82" t="str">
        <f>IF($B116="","",'Oneri mensili'!$C$8*(POWER(1+'Oneri mensili'!$C$8,$B116-1+1)))</f>
      </c>
      <c r="Q116" s="82" t="str">
        <f t="shared" si="8"/>
      </c>
      <c r="R116" s="80"/>
      <c r="S116" s="81" t="str">
        <f t="shared" si="6"/>
      </c>
      <c r="T116" s="81" t="str">
        <f>IF(S116="","",J116/(POWER(1+'Oneri mensili'!$C$8,$B116-1+1)))</f>
      </c>
      <c r="U116" s="83" t="str">
        <f t="shared" si="9"/>
      </c>
      <c r="V116" s="81" t="str">
        <f>IF($B116="","",K116/(POWER(1+'Oneri mensili'!$C$8,$B116-1+1)))</f>
      </c>
      <c r="W116" s="80"/>
    </row>
    <row r="117" spans="1:23" s="85" customFormat="1">
      <c r="A117" s="76"/>
      <c r="B117" s="77" t="str">
        <f>IF($B116="","",IF($B116+1&gt;'Oneri mensili'!$C$4,"",Schema!B116+1))</f>
      </c>
      <c r="C117" s="78" t="str">
        <f>IF($B116="","",IF($B116+1&gt;'Oneri mensili'!$C$4,"",EOMONTH(C116,0)+1))</f>
      </c>
      <c r="D117" s="76"/>
      <c r="E117" s="78" t="str">
        <f>IF($B116="","",IF($B116+1&gt;'Oneri mensili'!$C$4,"",F116+1))</f>
      </c>
      <c r="F117" s="78" t="str">
        <f>IF($B116="","",IF($B116+1&gt;'Oneri mensili'!$C$4,"",EOMONTH(E117,0)))</f>
      </c>
      <c r="G117" s="79" t="str">
        <f>IF($B116="","",IF($B116+1&gt;'Oneri mensili'!$C$4,"",(F117-E117)+1)/DAY(F117))</f>
      </c>
      <c r="H117" s="80"/>
      <c r="I117" s="81" t="str">
        <f>IF($B116="","",IF($B116+1&gt;'Oneri mensili'!$C$4,"",I116-J116))</f>
      </c>
      <c r="J117" s="81" t="str">
        <f>IF($B116="","",IF($B116+1&gt;'Oneri mensili'!$C$4,"",IF(B116&lt;'Oneri mensili'!$C$11-1,0,IF('Oneri mensili'!$C$10=dropdowns!$B$186,'Oneri mensili'!$J$3,IF('Oneri mensili'!$C$10=dropdowns!$B$185,IFERROR('Oneri mensili'!$J$3-K117,0),0)))))</f>
      </c>
      <c r="K117" s="81" t="str">
        <f>IF($B116="","",IF($B116+1&gt;'Oneri mensili'!$C$4,"",G117*I117*'Oneri mensili'!$C$8))</f>
      </c>
      <c r="L117" s="81" t="str">
        <f t="shared" si="7"/>
      </c>
      <c r="M117" s="81" t="str">
        <f t="shared" si="5"/>
      </c>
      <c r="N117" s="80"/>
      <c r="O117" s="82" t="str">
        <f>IF($B117="","",'Oneri mensili'!$C$8)</f>
      </c>
      <c r="P117" s="82" t="str">
        <f>IF($B117="","",'Oneri mensili'!$C$8*(POWER(1+'Oneri mensili'!$C$8,$B117-1+1)))</f>
      </c>
      <c r="Q117" s="82" t="str">
        <f t="shared" si="8"/>
      </c>
      <c r="R117" s="80"/>
      <c r="S117" s="81" t="str">
        <f t="shared" si="6"/>
      </c>
      <c r="T117" s="81" t="str">
        <f>IF(S117="","",J117/(POWER(1+'Oneri mensili'!$C$8,$B117-1+1)))</f>
      </c>
      <c r="U117" s="83" t="str">
        <f t="shared" si="9"/>
      </c>
      <c r="V117" s="81" t="str">
        <f>IF($B117="","",K117/(POWER(1+'Oneri mensili'!$C$8,$B117-1+1)))</f>
      </c>
      <c r="W117" s="80"/>
    </row>
    <row r="118" spans="1:23" s="85" customFormat="1">
      <c r="A118" s="76"/>
      <c r="B118" s="77" t="str">
        <f>IF($B117="","",IF($B117+1&gt;'Oneri mensili'!$C$4,"",Schema!B117+1))</f>
      </c>
      <c r="C118" s="78" t="str">
        <f>IF($B117="","",IF($B117+1&gt;'Oneri mensili'!$C$4,"",EOMONTH(C117,0)+1))</f>
      </c>
      <c r="D118" s="76"/>
      <c r="E118" s="78" t="str">
        <f>IF($B117="","",IF($B117+1&gt;'Oneri mensili'!$C$4,"",F117+1))</f>
      </c>
      <c r="F118" s="78" t="str">
        <f>IF($B117="","",IF($B117+1&gt;'Oneri mensili'!$C$4,"",EOMONTH(E118,0)))</f>
      </c>
      <c r="G118" s="79" t="str">
        <f>IF($B117="","",IF($B117+1&gt;'Oneri mensili'!$C$4,"",(F118-E118)+1)/DAY(F118))</f>
      </c>
      <c r="H118" s="80"/>
      <c r="I118" s="81" t="str">
        <f>IF($B117="","",IF($B117+1&gt;'Oneri mensili'!$C$4,"",I117-J117))</f>
      </c>
      <c r="J118" s="81" t="str">
        <f>IF($B117="","",IF($B117+1&gt;'Oneri mensili'!$C$4,"",IF(B117&lt;'Oneri mensili'!$C$11-1,0,IF('Oneri mensili'!$C$10=dropdowns!$B$186,'Oneri mensili'!$J$3,IF('Oneri mensili'!$C$10=dropdowns!$B$185,IFERROR('Oneri mensili'!$J$3-K118,0),0)))))</f>
      </c>
      <c r="K118" s="81" t="str">
        <f>IF($B117="","",IF($B117+1&gt;'Oneri mensili'!$C$4,"",G118*I118*'Oneri mensili'!$C$8))</f>
      </c>
      <c r="L118" s="81" t="str">
        <f t="shared" si="7"/>
      </c>
      <c r="M118" s="81" t="str">
        <f t="shared" si="5"/>
      </c>
      <c r="N118" s="80"/>
      <c r="O118" s="82" t="str">
        <f>IF($B118="","",'Oneri mensili'!$C$8)</f>
      </c>
      <c r="P118" s="82" t="str">
        <f>IF($B118="","",'Oneri mensili'!$C$8*(POWER(1+'Oneri mensili'!$C$8,$B118-1+1)))</f>
      </c>
      <c r="Q118" s="82" t="str">
        <f t="shared" si="8"/>
      </c>
      <c r="R118" s="80"/>
      <c r="S118" s="81" t="str">
        <f t="shared" si="6"/>
      </c>
      <c r="T118" s="81" t="str">
        <f>IF(S118="","",J118/(POWER(1+'Oneri mensili'!$C$8,$B118-1+1)))</f>
      </c>
      <c r="U118" s="83" t="str">
        <f t="shared" si="9"/>
      </c>
      <c r="V118" s="81" t="str">
        <f>IF($B118="","",K118/(POWER(1+'Oneri mensili'!$C$8,$B118-1+1)))</f>
      </c>
      <c r="W118" s="80"/>
    </row>
    <row r="119" spans="1:23" s="85" customFormat="1">
      <c r="A119" s="76"/>
      <c r="B119" s="77" t="str">
        <f>IF($B118="","",IF($B118+1&gt;'Oneri mensili'!$C$4,"",Schema!B118+1))</f>
      </c>
      <c r="C119" s="78" t="str">
        <f>IF($B118="","",IF($B118+1&gt;'Oneri mensili'!$C$4,"",EOMONTH(C118,0)+1))</f>
      </c>
      <c r="D119" s="76"/>
      <c r="E119" s="78" t="str">
        <f>IF($B118="","",IF($B118+1&gt;'Oneri mensili'!$C$4,"",F118+1))</f>
      </c>
      <c r="F119" s="78" t="str">
        <f>IF($B118="","",IF($B118+1&gt;'Oneri mensili'!$C$4,"",EOMONTH(E119,0)))</f>
      </c>
      <c r="G119" s="79" t="str">
        <f>IF($B118="","",IF($B118+1&gt;'Oneri mensili'!$C$4,"",(F119-E119)+1)/DAY(F119))</f>
      </c>
      <c r="H119" s="80"/>
      <c r="I119" s="81" t="str">
        <f>IF($B118="","",IF($B118+1&gt;'Oneri mensili'!$C$4,"",I118-J118))</f>
      </c>
      <c r="J119" s="81" t="str">
        <f>IF($B118="","",IF($B118+1&gt;'Oneri mensili'!$C$4,"",IF(B118&lt;'Oneri mensili'!$C$11-1,0,IF('Oneri mensili'!$C$10=dropdowns!$B$186,'Oneri mensili'!$J$3,IF('Oneri mensili'!$C$10=dropdowns!$B$185,IFERROR('Oneri mensili'!$J$3-K119,0),0)))))</f>
      </c>
      <c r="K119" s="81" t="str">
        <f>IF($B118="","",IF($B118+1&gt;'Oneri mensili'!$C$4,"",G119*I119*'Oneri mensili'!$C$8))</f>
      </c>
      <c r="L119" s="81" t="str">
        <f t="shared" si="7"/>
      </c>
      <c r="M119" s="81" t="str">
        <f t="shared" si="5"/>
      </c>
      <c r="N119" s="80"/>
      <c r="O119" s="82" t="str">
        <f>IF($B119="","",'Oneri mensili'!$C$8)</f>
      </c>
      <c r="P119" s="82" t="str">
        <f>IF($B119="","",'Oneri mensili'!$C$8*(POWER(1+'Oneri mensili'!$C$8,$B119-1+1)))</f>
      </c>
      <c r="Q119" s="82" t="str">
        <f t="shared" si="8"/>
      </c>
      <c r="R119" s="80"/>
      <c r="S119" s="81" t="str">
        <f t="shared" si="6"/>
      </c>
      <c r="T119" s="81" t="str">
        <f>IF(S119="","",J119/(POWER(1+'Oneri mensili'!$C$8,$B119-1+1)))</f>
      </c>
      <c r="U119" s="83" t="str">
        <f t="shared" si="9"/>
      </c>
      <c r="V119" s="81" t="str">
        <f>IF($B119="","",K119/(POWER(1+'Oneri mensili'!$C$8,$B119-1+1)))</f>
      </c>
      <c r="W119" s="80"/>
    </row>
    <row r="120" spans="1:23" s="85" customFormat="1">
      <c r="A120" s="76"/>
      <c r="B120" s="77" t="str">
        <f>IF($B119="","",IF($B119+1&gt;'Oneri mensili'!$C$4,"",Schema!B119+1))</f>
      </c>
      <c r="C120" s="78" t="str">
        <f>IF($B119="","",IF($B119+1&gt;'Oneri mensili'!$C$4,"",EOMONTH(C119,0)+1))</f>
      </c>
      <c r="D120" s="76"/>
      <c r="E120" s="78" t="str">
        <f>IF($B119="","",IF($B119+1&gt;'Oneri mensili'!$C$4,"",F119+1))</f>
      </c>
      <c r="F120" s="78" t="str">
        <f>IF($B119="","",IF($B119+1&gt;'Oneri mensili'!$C$4,"",EOMONTH(E120,0)))</f>
      </c>
      <c r="G120" s="79" t="str">
        <f>IF($B119="","",IF($B119+1&gt;'Oneri mensili'!$C$4,"",(F120-E120)+1)/DAY(F120))</f>
      </c>
      <c r="H120" s="80"/>
      <c r="I120" s="81" t="str">
        <f>IF($B119="","",IF($B119+1&gt;'Oneri mensili'!$C$4,"",I119-J119))</f>
      </c>
      <c r="J120" s="81" t="str">
        <f>IF($B119="","",IF($B119+1&gt;'Oneri mensili'!$C$4,"",IF(B119&lt;'Oneri mensili'!$C$11-1,0,IF('Oneri mensili'!$C$10=dropdowns!$B$186,'Oneri mensili'!$J$3,IF('Oneri mensili'!$C$10=dropdowns!$B$185,IFERROR('Oneri mensili'!$J$3-K120,0),0)))))</f>
      </c>
      <c r="K120" s="81" t="str">
        <f>IF($B119="","",IF($B119+1&gt;'Oneri mensili'!$C$4,"",G120*I120*'Oneri mensili'!$C$8))</f>
      </c>
      <c r="L120" s="81" t="str">
        <f t="shared" si="7"/>
      </c>
      <c r="M120" s="81" t="str">
        <f t="shared" si="5"/>
      </c>
      <c r="N120" s="80"/>
      <c r="O120" s="82" t="str">
        <f>IF($B120="","",'Oneri mensili'!$C$8)</f>
      </c>
      <c r="P120" s="82" t="str">
        <f>IF($B120="","",'Oneri mensili'!$C$8*(POWER(1+'Oneri mensili'!$C$8,$B120-1+1)))</f>
      </c>
      <c r="Q120" s="82" t="str">
        <f t="shared" si="8"/>
      </c>
      <c r="R120" s="80"/>
      <c r="S120" s="81" t="str">
        <f t="shared" si="6"/>
      </c>
      <c r="T120" s="81" t="str">
        <f>IF(S120="","",J120/(POWER(1+'Oneri mensili'!$C$8,$B120-1+1)))</f>
      </c>
      <c r="U120" s="83" t="str">
        <f t="shared" si="9"/>
      </c>
      <c r="V120" s="81" t="str">
        <f>IF($B120="","",K120/(POWER(1+'Oneri mensili'!$C$8,$B120-1+1)))</f>
      </c>
      <c r="W120" s="80"/>
    </row>
    <row r="121" spans="1:23" s="85" customFormat="1">
      <c r="A121" s="76"/>
      <c r="B121" s="77" t="str">
        <f>IF($B120="","",IF($B120+1&gt;'Oneri mensili'!$C$4,"",Schema!B120+1))</f>
      </c>
      <c r="C121" s="78" t="str">
        <f>IF($B120="","",IF($B120+1&gt;'Oneri mensili'!$C$4,"",EOMONTH(C120,0)+1))</f>
      </c>
      <c r="D121" s="76"/>
      <c r="E121" s="78" t="str">
        <f>IF($B120="","",IF($B120+1&gt;'Oneri mensili'!$C$4,"",F120+1))</f>
      </c>
      <c r="F121" s="78" t="str">
        <f>IF($B120="","",IF($B120+1&gt;'Oneri mensili'!$C$4,"",EOMONTH(E121,0)))</f>
      </c>
      <c r="G121" s="79" t="str">
        <f>IF($B120="","",IF($B120+1&gt;'Oneri mensili'!$C$4,"",(F121-E121)+1)/DAY(F121))</f>
      </c>
      <c r="H121" s="80"/>
      <c r="I121" s="81" t="str">
        <f>IF($B120="","",IF($B120+1&gt;'Oneri mensili'!$C$4,"",I120-J120))</f>
      </c>
      <c r="J121" s="81" t="str">
        <f>IF($B120="","",IF($B120+1&gt;'Oneri mensili'!$C$4,"",IF(B120&lt;'Oneri mensili'!$C$11-1,0,IF('Oneri mensili'!$C$10=dropdowns!$B$186,'Oneri mensili'!$J$3,IF('Oneri mensili'!$C$10=dropdowns!$B$185,IFERROR('Oneri mensili'!$J$3-K121,0),0)))))</f>
      </c>
      <c r="K121" s="81" t="str">
        <f>IF($B120="","",IF($B120+1&gt;'Oneri mensili'!$C$4,"",G121*I121*'Oneri mensili'!$C$8))</f>
      </c>
      <c r="L121" s="81" t="str">
        <f t="shared" si="7"/>
      </c>
      <c r="M121" s="81" t="str">
        <f t="shared" si="5"/>
      </c>
      <c r="N121" s="80"/>
      <c r="O121" s="82" t="str">
        <f>IF($B121="","",'Oneri mensili'!$C$8)</f>
      </c>
      <c r="P121" s="82" t="str">
        <f>IF($B121="","",'Oneri mensili'!$C$8*(POWER(1+'Oneri mensili'!$C$8,$B121-1+1)))</f>
      </c>
      <c r="Q121" s="82" t="str">
        <f t="shared" si="8"/>
      </c>
      <c r="R121" s="80"/>
      <c r="S121" s="81" t="str">
        <f t="shared" si="6"/>
      </c>
      <c r="T121" s="81" t="str">
        <f>IF(S121="","",J121/(POWER(1+'Oneri mensili'!$C$8,$B121-1+1)))</f>
      </c>
      <c r="U121" s="83" t="str">
        <f t="shared" si="9"/>
      </c>
      <c r="V121" s="81" t="str">
        <f>IF($B121="","",K121/(POWER(1+'Oneri mensili'!$C$8,$B121-1+1)))</f>
      </c>
      <c r="W121" s="80"/>
    </row>
    <row r="122" spans="1:23" s="85" customFormat="1">
      <c r="A122" s="76"/>
      <c r="B122" s="77" t="str">
        <f>IF($B121="","",IF($B121+1&gt;'Oneri mensili'!$C$4,"",Schema!B121+1))</f>
      </c>
      <c r="C122" s="78" t="str">
        <f>IF($B121="","",IF($B121+1&gt;'Oneri mensili'!$C$4,"",EOMONTH(C121,0)+1))</f>
      </c>
      <c r="D122" s="76"/>
      <c r="E122" s="78" t="str">
        <f>IF($B121="","",IF($B121+1&gt;'Oneri mensili'!$C$4,"",F121+1))</f>
      </c>
      <c r="F122" s="78" t="str">
        <f>IF($B121="","",IF($B121+1&gt;'Oneri mensili'!$C$4,"",EOMONTH(E122,0)))</f>
      </c>
      <c r="G122" s="79" t="str">
        <f>IF($B121="","",IF($B121+1&gt;'Oneri mensili'!$C$4,"",(F122-E122)+1)/DAY(F122))</f>
      </c>
      <c r="H122" s="80"/>
      <c r="I122" s="81" t="str">
        <f>IF($B121="","",IF($B121+1&gt;'Oneri mensili'!$C$4,"",I121-J121))</f>
      </c>
      <c r="J122" s="81" t="str">
        <f>IF($B121="","",IF($B121+1&gt;'Oneri mensili'!$C$4,"",IF(B121&lt;'Oneri mensili'!$C$11-1,0,IF('Oneri mensili'!$C$10=dropdowns!$B$186,'Oneri mensili'!$J$3,IF('Oneri mensili'!$C$10=dropdowns!$B$185,IFERROR('Oneri mensili'!$J$3-K122,0),0)))))</f>
      </c>
      <c r="K122" s="81" t="str">
        <f>IF($B121="","",IF($B121+1&gt;'Oneri mensili'!$C$4,"",G122*I122*'Oneri mensili'!$C$8))</f>
      </c>
      <c r="L122" s="81" t="str">
        <f t="shared" si="7"/>
      </c>
      <c r="M122" s="81" t="str">
        <f t="shared" si="5"/>
      </c>
      <c r="N122" s="80"/>
      <c r="O122" s="82" t="str">
        <f>IF($B122="","",'Oneri mensili'!$C$8)</f>
      </c>
      <c r="P122" s="82" t="str">
        <f>IF($B122="","",'Oneri mensili'!$C$8*(POWER(1+'Oneri mensili'!$C$8,$B122-1+1)))</f>
      </c>
      <c r="Q122" s="82" t="str">
        <f t="shared" si="8"/>
      </c>
      <c r="R122" s="80"/>
      <c r="S122" s="81" t="str">
        <f t="shared" si="6"/>
      </c>
      <c r="T122" s="81" t="str">
        <f>IF(S122="","",J122/(POWER(1+'Oneri mensili'!$C$8,$B122-1+1)))</f>
      </c>
      <c r="U122" s="83" t="str">
        <f t="shared" si="9"/>
      </c>
      <c r="V122" s="81" t="str">
        <f>IF($B122="","",K122/(POWER(1+'Oneri mensili'!$C$8,$B122-1+1)))</f>
      </c>
      <c r="W122" s="80"/>
    </row>
    <row r="123" spans="1:23" s="85" customFormat="1">
      <c r="A123" s="76"/>
      <c r="B123" s="77" t="str">
        <f>IF($B122="","",IF($B122+1&gt;'Oneri mensili'!$C$4,"",Schema!B122+1))</f>
      </c>
      <c r="C123" s="78" t="str">
        <f>IF($B122="","",IF($B122+1&gt;'Oneri mensili'!$C$4,"",EOMONTH(C122,0)+1))</f>
      </c>
      <c r="D123" s="76"/>
      <c r="E123" s="78" t="str">
        <f>IF($B122="","",IF($B122+1&gt;'Oneri mensili'!$C$4,"",F122+1))</f>
      </c>
      <c r="F123" s="78" t="str">
        <f>IF($B122="","",IF($B122+1&gt;'Oneri mensili'!$C$4,"",EOMONTH(E123,0)))</f>
      </c>
      <c r="G123" s="79" t="str">
        <f>IF($B122="","",IF($B122+1&gt;'Oneri mensili'!$C$4,"",(F123-E123)+1)/DAY(F123))</f>
      </c>
      <c r="H123" s="80"/>
      <c r="I123" s="81" t="str">
        <f>IF($B122="","",IF($B122+1&gt;'Oneri mensili'!$C$4,"",I122-J122))</f>
      </c>
      <c r="J123" s="81" t="str">
        <f>IF($B122="","",IF($B122+1&gt;'Oneri mensili'!$C$4,"",IF(B122&lt;'Oneri mensili'!$C$11-1,0,IF('Oneri mensili'!$C$10=dropdowns!$B$186,'Oneri mensili'!$J$3,IF('Oneri mensili'!$C$10=dropdowns!$B$185,IFERROR('Oneri mensili'!$J$3-K123,0),0)))))</f>
      </c>
      <c r="K123" s="81" t="str">
        <f>IF($B122="","",IF($B122+1&gt;'Oneri mensili'!$C$4,"",G123*I123*'Oneri mensili'!$C$8))</f>
      </c>
      <c r="L123" s="81" t="str">
        <f t="shared" si="7"/>
      </c>
      <c r="M123" s="81" t="str">
        <f t="shared" si="5"/>
      </c>
      <c r="N123" s="80"/>
      <c r="O123" s="82" t="str">
        <f>IF($B123="","",'Oneri mensili'!$C$8)</f>
      </c>
      <c r="P123" s="82" t="str">
        <f>IF($B123="","",'Oneri mensili'!$C$8*(POWER(1+'Oneri mensili'!$C$8,$B123-1+1)))</f>
      </c>
      <c r="Q123" s="82" t="str">
        <f t="shared" si="8"/>
      </c>
      <c r="R123" s="80"/>
      <c r="S123" s="81" t="str">
        <f t="shared" si="6"/>
      </c>
      <c r="T123" s="81" t="str">
        <f>IF(S123="","",J123/(POWER(1+'Oneri mensili'!$C$8,$B123-1+1)))</f>
      </c>
      <c r="U123" s="83" t="str">
        <f t="shared" si="9"/>
      </c>
      <c r="V123" s="81" t="str">
        <f>IF($B123="","",K123/(POWER(1+'Oneri mensili'!$C$8,$B123-1+1)))</f>
      </c>
      <c r="W123" s="80"/>
    </row>
    <row r="124" spans="1:23" s="85" customFormat="1">
      <c r="A124" s="76"/>
      <c r="B124" s="77" t="str">
        <f>IF($B123="","",IF($B123+1&gt;'Oneri mensili'!$C$4,"",Schema!B123+1))</f>
      </c>
      <c r="C124" s="78" t="str">
        <f>IF($B123="","",IF($B123+1&gt;'Oneri mensili'!$C$4,"",EOMONTH(C123,0)+1))</f>
      </c>
      <c r="D124" s="76"/>
      <c r="E124" s="78" t="str">
        <f>IF($B123="","",IF($B123+1&gt;'Oneri mensili'!$C$4,"",F123+1))</f>
      </c>
      <c r="F124" s="78" t="str">
        <f>IF($B123="","",IF($B123+1&gt;'Oneri mensili'!$C$4,"",EOMONTH(E124,0)))</f>
      </c>
      <c r="G124" s="79" t="str">
        <f>IF($B123="","",IF($B123+1&gt;'Oneri mensili'!$C$4,"",(F124-E124)+1)/DAY(F124))</f>
      </c>
      <c r="H124" s="80"/>
      <c r="I124" s="81" t="str">
        <f>IF($B123="","",IF($B123+1&gt;'Oneri mensili'!$C$4,"",I123-J123))</f>
      </c>
      <c r="J124" s="81" t="str">
        <f>IF($B123="","",IF($B123+1&gt;'Oneri mensili'!$C$4,"",IF(B123&lt;'Oneri mensili'!$C$11-1,0,IF('Oneri mensili'!$C$10=dropdowns!$B$186,'Oneri mensili'!$J$3,IF('Oneri mensili'!$C$10=dropdowns!$B$185,IFERROR('Oneri mensili'!$J$3-K124,0),0)))))</f>
      </c>
      <c r="K124" s="81" t="str">
        <f>IF($B123="","",IF($B123+1&gt;'Oneri mensili'!$C$4,"",G124*I124*'Oneri mensili'!$C$8))</f>
      </c>
      <c r="L124" s="81" t="str">
        <f t="shared" si="7"/>
      </c>
      <c r="M124" s="81" t="str">
        <f t="shared" si="5"/>
      </c>
      <c r="N124" s="80"/>
      <c r="O124" s="82" t="str">
        <f>IF($B124="","",'Oneri mensili'!$C$8)</f>
      </c>
      <c r="P124" s="82" t="str">
        <f>IF($B124="","",'Oneri mensili'!$C$8*(POWER(1+'Oneri mensili'!$C$8,$B124-1+1)))</f>
      </c>
      <c r="Q124" s="82" t="str">
        <f t="shared" si="8"/>
      </c>
      <c r="R124" s="80"/>
      <c r="S124" s="81" t="str">
        <f t="shared" si="6"/>
      </c>
      <c r="T124" s="81" t="str">
        <f>IF(S124="","",J124/(POWER(1+'Oneri mensili'!$C$8,$B124-1+1)))</f>
      </c>
      <c r="U124" s="83" t="str">
        <f t="shared" si="9"/>
      </c>
      <c r="V124" s="81" t="str">
        <f>IF($B124="","",K124/(POWER(1+'Oneri mensili'!$C$8,$B124-1+1)))</f>
      </c>
      <c r="W124" s="80"/>
    </row>
    <row r="125" spans="1:23" s="85" customFormat="1">
      <c r="A125" s="76"/>
      <c r="B125" s="77" t="str">
        <f>IF($B124="","",IF($B124+1&gt;'Oneri mensili'!$C$4,"",Schema!B124+1))</f>
      </c>
      <c r="C125" s="78" t="str">
        <f>IF($B124="","",IF($B124+1&gt;'Oneri mensili'!$C$4,"",EOMONTH(C124,0)+1))</f>
      </c>
      <c r="D125" s="76"/>
      <c r="E125" s="78" t="str">
        <f>IF($B124="","",IF($B124+1&gt;'Oneri mensili'!$C$4,"",F124+1))</f>
      </c>
      <c r="F125" s="78" t="str">
        <f>IF($B124="","",IF($B124+1&gt;'Oneri mensili'!$C$4,"",EOMONTH(E125,0)))</f>
      </c>
      <c r="G125" s="79" t="str">
        <f>IF($B124="","",IF($B124+1&gt;'Oneri mensili'!$C$4,"",(F125-E125)+1)/DAY(F125))</f>
      </c>
      <c r="H125" s="80"/>
      <c r="I125" s="81" t="str">
        <f>IF($B124="","",IF($B124+1&gt;'Oneri mensili'!$C$4,"",I124-J124))</f>
      </c>
      <c r="J125" s="81" t="str">
        <f>IF($B124="","",IF($B124+1&gt;'Oneri mensili'!$C$4,"",IF(B124&lt;'Oneri mensili'!$C$11-1,0,IF('Oneri mensili'!$C$10=dropdowns!$B$186,'Oneri mensili'!$J$3,IF('Oneri mensili'!$C$10=dropdowns!$B$185,IFERROR('Oneri mensili'!$J$3-K125,0),0)))))</f>
      </c>
      <c r="K125" s="81" t="str">
        <f>IF($B124="","",IF($B124+1&gt;'Oneri mensili'!$C$4,"",G125*I125*'Oneri mensili'!$C$8))</f>
      </c>
      <c r="L125" s="81" t="str">
        <f t="shared" si="7"/>
      </c>
      <c r="M125" s="81" t="str">
        <f t="shared" si="5"/>
      </c>
      <c r="N125" s="80"/>
      <c r="O125" s="82" t="str">
        <f>IF($B125="","",'Oneri mensili'!$C$8)</f>
      </c>
      <c r="P125" s="82" t="str">
        <f>IF($B125="","",'Oneri mensili'!$C$8*(POWER(1+'Oneri mensili'!$C$8,$B125-1+1)))</f>
      </c>
      <c r="Q125" s="82" t="str">
        <f t="shared" si="8"/>
      </c>
      <c r="R125" s="80"/>
      <c r="S125" s="81" t="str">
        <f t="shared" si="6"/>
      </c>
      <c r="T125" s="81" t="str">
        <f>IF(S125="","",J125/(POWER(1+'Oneri mensili'!$C$8,$B125-1+1)))</f>
      </c>
      <c r="U125" s="83" t="str">
        <f t="shared" si="9"/>
      </c>
      <c r="V125" s="81" t="str">
        <f>IF($B125="","",K125/(POWER(1+'Oneri mensili'!$C$8,$B125-1+1)))</f>
      </c>
      <c r="W125" s="80"/>
    </row>
    <row r="126" spans="1:23" s="85" customFormat="1">
      <c r="A126" s="76"/>
      <c r="B126" s="77" t="str">
        <f>IF($B125="","",IF($B125+1&gt;'Oneri mensili'!$C$4,"",Schema!B125+1))</f>
      </c>
      <c r="C126" s="78" t="str">
        <f>IF($B125="","",IF($B125+1&gt;'Oneri mensili'!$C$4,"",EOMONTH(C125,0)+1))</f>
      </c>
      <c r="D126" s="76"/>
      <c r="E126" s="78" t="str">
        <f>IF($B125="","",IF($B125+1&gt;'Oneri mensili'!$C$4,"",F125+1))</f>
      </c>
      <c r="F126" s="78" t="str">
        <f>IF($B125="","",IF($B125+1&gt;'Oneri mensili'!$C$4,"",EOMONTH(E126,0)))</f>
      </c>
      <c r="G126" s="79" t="str">
        <f>IF($B125="","",IF($B125+1&gt;'Oneri mensili'!$C$4,"",(F126-E126)+1)/DAY(F126))</f>
      </c>
      <c r="H126" s="80"/>
      <c r="I126" s="81" t="str">
        <f>IF($B125="","",IF($B125+1&gt;'Oneri mensili'!$C$4,"",I125-J125))</f>
      </c>
      <c r="J126" s="81" t="str">
        <f>IF($B125="","",IF($B125+1&gt;'Oneri mensili'!$C$4,"",IF(B125&lt;'Oneri mensili'!$C$11-1,0,IF('Oneri mensili'!$C$10=dropdowns!$B$186,'Oneri mensili'!$J$3,IF('Oneri mensili'!$C$10=dropdowns!$B$185,IFERROR('Oneri mensili'!$J$3-K126,0),0)))))</f>
      </c>
      <c r="K126" s="81" t="str">
        <f>IF($B125="","",IF($B125+1&gt;'Oneri mensili'!$C$4,"",G126*I126*'Oneri mensili'!$C$8))</f>
      </c>
      <c r="L126" s="81" t="str">
        <f t="shared" si="7"/>
      </c>
      <c r="M126" s="81" t="str">
        <f t="shared" si="5"/>
      </c>
      <c r="N126" s="80"/>
      <c r="O126" s="82" t="str">
        <f>IF($B126="","",'Oneri mensili'!$C$8)</f>
      </c>
      <c r="P126" s="82" t="str">
        <f>IF($B126="","",'Oneri mensili'!$C$8*(POWER(1+'Oneri mensili'!$C$8,$B126-1+1)))</f>
      </c>
      <c r="Q126" s="82" t="str">
        <f t="shared" si="8"/>
      </c>
      <c r="R126" s="80"/>
      <c r="S126" s="81" t="str">
        <f t="shared" si="6"/>
      </c>
      <c r="T126" s="81" t="str">
        <f>IF(S126="","",J126/(POWER(1+'Oneri mensili'!$C$8,$B126-1+1)))</f>
      </c>
      <c r="U126" s="83" t="str">
        <f t="shared" si="9"/>
      </c>
      <c r="V126" s="81" t="str">
        <f>IF($B126="","",K126/(POWER(1+'Oneri mensili'!$C$8,$B126-1+1)))</f>
      </c>
      <c r="W126" s="80"/>
    </row>
    <row r="127" spans="1:23" s="85" customFormat="1">
      <c r="A127" s="76"/>
      <c r="B127" s="77" t="str">
        <f>IF($B126="","",IF($B126+1&gt;'Oneri mensili'!$C$4,"",Schema!B126+1))</f>
      </c>
      <c r="C127" s="78" t="str">
        <f>IF($B126="","",IF($B126+1&gt;'Oneri mensili'!$C$4,"",EOMONTH(C126,0)+1))</f>
      </c>
      <c r="D127" s="76"/>
      <c r="E127" s="78" t="str">
        <f>IF($B126="","",IF($B126+1&gt;'Oneri mensili'!$C$4,"",F126+1))</f>
      </c>
      <c r="F127" s="78" t="str">
        <f>IF($B126="","",IF($B126+1&gt;'Oneri mensili'!$C$4,"",EOMONTH(E127,0)))</f>
      </c>
      <c r="G127" s="79" t="str">
        <f>IF($B126="","",IF($B126+1&gt;'Oneri mensili'!$C$4,"",(F127-E127)+1)/DAY(F127))</f>
      </c>
      <c r="H127" s="80"/>
      <c r="I127" s="81" t="str">
        <f>IF($B126="","",IF($B126+1&gt;'Oneri mensili'!$C$4,"",I126-J126))</f>
      </c>
      <c r="J127" s="81" t="str">
        <f>IF($B126="","",IF($B126+1&gt;'Oneri mensili'!$C$4,"",IF(B126&lt;'Oneri mensili'!$C$11-1,0,IF('Oneri mensili'!$C$10=dropdowns!$B$186,'Oneri mensili'!$J$3,IF('Oneri mensili'!$C$10=dropdowns!$B$185,IFERROR('Oneri mensili'!$J$3-K127,0),0)))))</f>
      </c>
      <c r="K127" s="81" t="str">
        <f>IF($B126="","",IF($B126+1&gt;'Oneri mensili'!$C$4,"",G127*I127*'Oneri mensili'!$C$8))</f>
      </c>
      <c r="L127" s="81" t="str">
        <f t="shared" si="7"/>
      </c>
      <c r="M127" s="81" t="str">
        <f t="shared" si="5"/>
      </c>
      <c r="N127" s="80"/>
      <c r="O127" s="82" t="str">
        <f>IF($B127="","",'Oneri mensili'!$C$8)</f>
      </c>
      <c r="P127" s="82" t="str">
        <f>IF($B127="","",'Oneri mensili'!$C$8*(POWER(1+'Oneri mensili'!$C$8,$B127-1+1)))</f>
      </c>
      <c r="Q127" s="82" t="str">
        <f t="shared" si="8"/>
      </c>
      <c r="R127" s="80"/>
      <c r="S127" s="81" t="str">
        <f t="shared" si="6"/>
      </c>
      <c r="T127" s="81" t="str">
        <f>IF(S127="","",J127/(POWER(1+'Oneri mensili'!$C$8,$B127-1+1)))</f>
      </c>
      <c r="U127" s="83" t="str">
        <f t="shared" si="9"/>
      </c>
      <c r="V127" s="81" t="str">
        <f>IF($B127="","",K127/(POWER(1+'Oneri mensili'!$C$8,$B127-1+1)))</f>
      </c>
      <c r="W127" s="80"/>
    </row>
    <row r="128" spans="1:23" s="85" customFormat="1">
      <c r="A128" s="76"/>
      <c r="B128" s="77" t="str">
        <f>IF($B127="","",IF($B127+1&gt;'Oneri mensili'!$C$4,"",Schema!B127+1))</f>
      </c>
      <c r="C128" s="78" t="str">
        <f>IF($B127="","",IF($B127+1&gt;'Oneri mensili'!$C$4,"",EOMONTH(C127,0)+1))</f>
      </c>
      <c r="D128" s="76"/>
      <c r="E128" s="78" t="str">
        <f>IF($B127="","",IF($B127+1&gt;'Oneri mensili'!$C$4,"",F127+1))</f>
      </c>
      <c r="F128" s="78" t="str">
        <f>IF($B127="","",IF($B127+1&gt;'Oneri mensili'!$C$4,"",EOMONTH(E128,0)))</f>
      </c>
      <c r="G128" s="79" t="str">
        <f>IF($B127="","",IF($B127+1&gt;'Oneri mensili'!$C$4,"",(F128-E128)+1)/DAY(F128))</f>
      </c>
      <c r="H128" s="80"/>
      <c r="I128" s="81" t="str">
        <f>IF($B127="","",IF($B127+1&gt;'Oneri mensili'!$C$4,"",I127-J127))</f>
      </c>
      <c r="J128" s="81" t="str">
        <f>IF($B127="","",IF($B127+1&gt;'Oneri mensili'!$C$4,"",IF(B127&lt;'Oneri mensili'!$C$11-1,0,IF('Oneri mensili'!$C$10=dropdowns!$B$186,'Oneri mensili'!$J$3,IF('Oneri mensili'!$C$10=dropdowns!$B$185,IFERROR('Oneri mensili'!$J$3-K128,0),0)))))</f>
      </c>
      <c r="K128" s="81" t="str">
        <f>IF($B127="","",IF($B127+1&gt;'Oneri mensili'!$C$4,"",G128*I128*'Oneri mensili'!$C$8))</f>
      </c>
      <c r="L128" s="81" t="str">
        <f t="shared" si="7"/>
      </c>
      <c r="M128" s="81" t="str">
        <f t="shared" si="5"/>
      </c>
      <c r="N128" s="80"/>
      <c r="O128" s="82" t="str">
        <f>IF($B128="","",'Oneri mensili'!$C$8)</f>
      </c>
      <c r="P128" s="82" t="str">
        <f>IF($B128="","",'Oneri mensili'!$C$8*(POWER(1+'Oneri mensili'!$C$8,$B128-1+1)))</f>
      </c>
      <c r="Q128" s="82" t="str">
        <f t="shared" si="8"/>
      </c>
      <c r="R128" s="80"/>
      <c r="S128" s="81" t="str">
        <f t="shared" si="6"/>
      </c>
      <c r="T128" s="81" t="str">
        <f>IF(S128="","",J128/(POWER(1+'Oneri mensili'!$C$8,$B128-1+1)))</f>
      </c>
      <c r="U128" s="83" t="str">
        <f t="shared" si="9"/>
      </c>
      <c r="V128" s="81" t="str">
        <f>IF($B128="","",K128/(POWER(1+'Oneri mensili'!$C$8,$B128-1+1)))</f>
      </c>
      <c r="W128" s="80"/>
    </row>
    <row r="129" spans="1:23" s="85" customFormat="1">
      <c r="A129" s="76"/>
      <c r="B129" s="77" t="str">
        <f>IF($B128="","",IF($B128+1&gt;'Oneri mensili'!$C$4,"",Schema!B128+1))</f>
      </c>
      <c r="C129" s="78" t="str">
        <f>IF($B128="","",IF($B128+1&gt;'Oneri mensili'!$C$4,"",EOMONTH(C128,0)+1))</f>
      </c>
      <c r="D129" s="76"/>
      <c r="E129" s="78" t="str">
        <f>IF($B128="","",IF($B128+1&gt;'Oneri mensili'!$C$4,"",F128+1))</f>
      </c>
      <c r="F129" s="78" t="str">
        <f>IF($B128="","",IF($B128+1&gt;'Oneri mensili'!$C$4,"",EOMONTH(E129,0)))</f>
      </c>
      <c r="G129" s="79" t="str">
        <f>IF($B128="","",IF($B128+1&gt;'Oneri mensili'!$C$4,"",(F129-E129)+1)/DAY(F129))</f>
      </c>
      <c r="H129" s="80"/>
      <c r="I129" s="81" t="str">
        <f>IF($B128="","",IF($B128+1&gt;'Oneri mensili'!$C$4,"",I128-J128))</f>
      </c>
      <c r="J129" s="81" t="str">
        <f>IF($B128="","",IF($B128+1&gt;'Oneri mensili'!$C$4,"",IF(B128&lt;'Oneri mensili'!$C$11-1,0,IF('Oneri mensili'!$C$10=dropdowns!$B$186,'Oneri mensili'!$J$3,IF('Oneri mensili'!$C$10=dropdowns!$B$185,IFERROR('Oneri mensili'!$J$3-K129,0),0)))))</f>
      </c>
      <c r="K129" s="81" t="str">
        <f>IF($B128="","",IF($B128+1&gt;'Oneri mensili'!$C$4,"",G129*I129*'Oneri mensili'!$C$8))</f>
      </c>
      <c r="L129" s="81" t="str">
        <f t="shared" si="7"/>
      </c>
      <c r="M129" s="81" t="str">
        <f t="shared" si="5"/>
      </c>
      <c r="N129" s="80"/>
      <c r="O129" s="82" t="str">
        <f>IF($B129="","",'Oneri mensili'!$C$8)</f>
      </c>
      <c r="P129" s="82" t="str">
        <f>IF($B129="","",'Oneri mensili'!$C$8*(POWER(1+'Oneri mensili'!$C$8,$B129-1+1)))</f>
      </c>
      <c r="Q129" s="82" t="str">
        <f t="shared" si="8"/>
      </c>
      <c r="R129" s="80"/>
      <c r="S129" s="81" t="str">
        <f t="shared" si="6"/>
      </c>
      <c r="T129" s="81" t="str">
        <f>IF(S129="","",J129/(POWER(1+'Oneri mensili'!$C$8,$B129-1+1)))</f>
      </c>
      <c r="U129" s="83" t="str">
        <f t="shared" si="9"/>
      </c>
      <c r="V129" s="81" t="str">
        <f>IF($B129="","",K129/(POWER(1+'Oneri mensili'!$C$8,$B129-1+1)))</f>
      </c>
      <c r="W129" s="80"/>
    </row>
    <row r="130" spans="1:23" s="85" customFormat="1">
      <c r="A130" s="76"/>
      <c r="B130" s="77" t="str">
        <f>IF($B129="","",IF($B129+1&gt;'Oneri mensili'!$C$4,"",Schema!B129+1))</f>
      </c>
      <c r="C130" s="78" t="str">
        <f>IF($B129="","",IF($B129+1&gt;'Oneri mensili'!$C$4,"",EOMONTH(C129,0)+1))</f>
      </c>
      <c r="D130" s="76"/>
      <c r="E130" s="78" t="str">
        <f>IF($B129="","",IF($B129+1&gt;'Oneri mensili'!$C$4,"",F129+1))</f>
      </c>
      <c r="F130" s="78" t="str">
        <f>IF($B129="","",IF($B129+1&gt;'Oneri mensili'!$C$4,"",EOMONTH(E130,0)))</f>
      </c>
      <c r="G130" s="79" t="str">
        <f>IF($B129="","",IF($B129+1&gt;'Oneri mensili'!$C$4,"",(F130-E130)+1)/DAY(F130))</f>
      </c>
      <c r="H130" s="80"/>
      <c r="I130" s="81" t="str">
        <f>IF($B129="","",IF($B129+1&gt;'Oneri mensili'!$C$4,"",I129-J129))</f>
      </c>
      <c r="J130" s="81" t="str">
        <f>IF($B129="","",IF($B129+1&gt;'Oneri mensili'!$C$4,"",IF(B129&lt;'Oneri mensili'!$C$11-1,0,IF('Oneri mensili'!$C$10=dropdowns!$B$186,'Oneri mensili'!$J$3,IF('Oneri mensili'!$C$10=dropdowns!$B$185,IFERROR('Oneri mensili'!$J$3-K130,0),0)))))</f>
      </c>
      <c r="K130" s="81" t="str">
        <f>IF($B129="","",IF($B129+1&gt;'Oneri mensili'!$C$4,"",G130*I130*'Oneri mensili'!$C$8))</f>
      </c>
      <c r="L130" s="81" t="str">
        <f t="shared" si="7"/>
      </c>
      <c r="M130" s="81" t="str">
        <f t="shared" si="5"/>
      </c>
      <c r="N130" s="80"/>
      <c r="O130" s="82" t="str">
        <f>IF($B130="","",'Oneri mensili'!$C$8)</f>
      </c>
      <c r="P130" s="82" t="str">
        <f>IF($B130="","",'Oneri mensili'!$C$8*(POWER(1+'Oneri mensili'!$C$8,$B130-1+1)))</f>
      </c>
      <c r="Q130" s="82" t="str">
        <f t="shared" si="8"/>
      </c>
      <c r="R130" s="80"/>
      <c r="S130" s="81" t="str">
        <f t="shared" si="6"/>
      </c>
      <c r="T130" s="81" t="str">
        <f>IF(S130="","",J130/(POWER(1+'Oneri mensili'!$C$8,$B130-1+1)))</f>
      </c>
      <c r="U130" s="83" t="str">
        <f t="shared" si="9"/>
      </c>
      <c r="V130" s="81" t="str">
        <f>IF($B130="","",K130/(POWER(1+'Oneri mensili'!$C$8,$B130-1+1)))</f>
      </c>
      <c r="W130" s="80"/>
    </row>
    <row r="131" spans="1:23" s="85" customFormat="1">
      <c r="A131" s="76"/>
      <c r="B131" s="77" t="str">
        <f>IF($B130="","",IF($B130+1&gt;'Oneri mensili'!$C$4,"",Schema!B130+1))</f>
      </c>
      <c r="C131" s="78" t="str">
        <f>IF($B130="","",IF($B130+1&gt;'Oneri mensili'!$C$4,"",EOMONTH(C130,0)+1))</f>
      </c>
      <c r="D131" s="76"/>
      <c r="E131" s="78" t="str">
        <f>IF($B130="","",IF($B130+1&gt;'Oneri mensili'!$C$4,"",F130+1))</f>
      </c>
      <c r="F131" s="78" t="str">
        <f>IF($B130="","",IF($B130+1&gt;'Oneri mensili'!$C$4,"",EOMONTH(E131,0)))</f>
      </c>
      <c r="G131" s="79" t="str">
        <f>IF($B130="","",IF($B130+1&gt;'Oneri mensili'!$C$4,"",(F131-E131)+1)/DAY(F131))</f>
      </c>
      <c r="H131" s="80"/>
      <c r="I131" s="81" t="str">
        <f>IF($B130="","",IF($B130+1&gt;'Oneri mensili'!$C$4,"",I130-J130))</f>
      </c>
      <c r="J131" s="81" t="str">
        <f>IF($B130="","",IF($B130+1&gt;'Oneri mensili'!$C$4,"",IF(B130&lt;'Oneri mensili'!$C$11-1,0,IF('Oneri mensili'!$C$10=dropdowns!$B$186,'Oneri mensili'!$J$3,IF('Oneri mensili'!$C$10=dropdowns!$B$185,IFERROR('Oneri mensili'!$J$3-K131,0),0)))))</f>
      </c>
      <c r="K131" s="81" t="str">
        <f>IF($B130="","",IF($B130+1&gt;'Oneri mensili'!$C$4,"",G131*I131*'Oneri mensili'!$C$8))</f>
      </c>
      <c r="L131" s="81" t="str">
        <f t="shared" si="7"/>
      </c>
      <c r="M131" s="81" t="str">
        <f t="shared" si="5"/>
      </c>
      <c r="N131" s="80"/>
      <c r="O131" s="82" t="str">
        <f>IF($B131="","",'Oneri mensili'!$C$8)</f>
      </c>
      <c r="P131" s="82" t="str">
        <f>IF($B131="","",'Oneri mensili'!$C$8*(POWER(1+'Oneri mensili'!$C$8,$B131-1+1)))</f>
      </c>
      <c r="Q131" s="82" t="str">
        <f t="shared" si="8"/>
      </c>
      <c r="R131" s="80"/>
      <c r="S131" s="81" t="str">
        <f t="shared" si="6"/>
      </c>
      <c r="T131" s="81" t="str">
        <f>IF(S131="","",J131/(POWER(1+'Oneri mensili'!$C$8,$B131-1+1)))</f>
      </c>
      <c r="U131" s="83" t="str">
        <f t="shared" si="9"/>
      </c>
      <c r="V131" s="81" t="str">
        <f>IF($B131="","",K131/(POWER(1+'Oneri mensili'!$C$8,$B131-1+1)))</f>
      </c>
      <c r="W131" s="80"/>
    </row>
    <row r="132" spans="1:23" s="85" customFormat="1">
      <c r="A132" s="76"/>
      <c r="B132" s="77" t="str">
        <f>IF($B131="","",IF($B131+1&gt;'Oneri mensili'!$C$4,"",Schema!B131+1))</f>
      </c>
      <c r="C132" s="78" t="str">
        <f>IF($B131="","",IF($B131+1&gt;'Oneri mensili'!$C$4,"",EOMONTH(C131,0)+1))</f>
      </c>
      <c r="D132" s="76"/>
      <c r="E132" s="78" t="str">
        <f>IF($B131="","",IF($B131+1&gt;'Oneri mensili'!$C$4,"",F131+1))</f>
      </c>
      <c r="F132" s="78" t="str">
        <f>IF($B131="","",IF($B131+1&gt;'Oneri mensili'!$C$4,"",EOMONTH(E132,0)))</f>
      </c>
      <c r="G132" s="79" t="str">
        <f>IF($B131="","",IF($B131+1&gt;'Oneri mensili'!$C$4,"",(F132-E132)+1)/DAY(F132))</f>
      </c>
      <c r="H132" s="80"/>
      <c r="I132" s="81" t="str">
        <f>IF($B131="","",IF($B131+1&gt;'Oneri mensili'!$C$4,"",I131-J131))</f>
      </c>
      <c r="J132" s="81" t="str">
        <f>IF($B131="","",IF($B131+1&gt;'Oneri mensili'!$C$4,"",IF(B131&lt;'Oneri mensili'!$C$11-1,0,IF('Oneri mensili'!$C$10=dropdowns!$B$186,'Oneri mensili'!$J$3,IF('Oneri mensili'!$C$10=dropdowns!$B$185,IFERROR('Oneri mensili'!$J$3-K132,0),0)))))</f>
      </c>
      <c r="K132" s="81" t="str">
        <f>IF($B131="","",IF($B131+1&gt;'Oneri mensili'!$C$4,"",G132*I132*'Oneri mensili'!$C$8))</f>
      </c>
      <c r="L132" s="81" t="str">
        <f t="shared" si="7"/>
      </c>
      <c r="M132" s="81" t="str">
        <f t="shared" si="5"/>
      </c>
      <c r="N132" s="80"/>
      <c r="O132" s="82" t="str">
        <f>IF($B132="","",'Oneri mensili'!$C$8)</f>
      </c>
      <c r="P132" s="82" t="str">
        <f>IF($B132="","",'Oneri mensili'!$C$8*(POWER(1+'Oneri mensili'!$C$8,$B132-1+1)))</f>
      </c>
      <c r="Q132" s="82" t="str">
        <f t="shared" si="8"/>
      </c>
      <c r="R132" s="80"/>
      <c r="S132" s="81" t="str">
        <f t="shared" si="6"/>
      </c>
      <c r="T132" s="81" t="str">
        <f>IF(S132="","",J132/(POWER(1+'Oneri mensili'!$C$8,$B132-1+1)))</f>
      </c>
      <c r="U132" s="83" t="str">
        <f t="shared" si="9"/>
      </c>
      <c r="V132" s="81" t="str">
        <f>IF($B132="","",K132/(POWER(1+'Oneri mensili'!$C$8,$B132-1+1)))</f>
      </c>
      <c r="W132" s="80"/>
    </row>
    <row r="133" spans="1:23" s="85" customFormat="1">
      <c r="A133" s="76"/>
      <c r="B133" s="77" t="str">
        <f>IF($B132="","",IF($B132+1&gt;'Oneri mensili'!$C$4,"",Schema!B132+1))</f>
      </c>
      <c r="C133" s="78" t="str">
        <f>IF($B132="","",IF($B132+1&gt;'Oneri mensili'!$C$4,"",EOMONTH(C132,0)+1))</f>
      </c>
      <c r="D133" s="76"/>
      <c r="E133" s="78" t="str">
        <f>IF($B132="","",IF($B132+1&gt;'Oneri mensili'!$C$4,"",F132+1))</f>
      </c>
      <c r="F133" s="78" t="str">
        <f>IF($B132="","",IF($B132+1&gt;'Oneri mensili'!$C$4,"",EOMONTH(E133,0)))</f>
      </c>
      <c r="G133" s="79" t="str">
        <f>IF($B132="","",IF($B132+1&gt;'Oneri mensili'!$C$4,"",(F133-E133)+1)/DAY(F133))</f>
      </c>
      <c r="H133" s="80"/>
      <c r="I133" s="81" t="str">
        <f>IF($B132="","",IF($B132+1&gt;'Oneri mensili'!$C$4,"",I132-J132))</f>
      </c>
      <c r="J133" s="81" t="str">
        <f>IF($B132="","",IF($B132+1&gt;'Oneri mensili'!$C$4,"",IF(B132&lt;'Oneri mensili'!$C$11-1,0,IF('Oneri mensili'!$C$10=dropdowns!$B$186,'Oneri mensili'!$J$3,IF('Oneri mensili'!$C$10=dropdowns!$B$185,IFERROR('Oneri mensili'!$J$3-K133,0),0)))))</f>
      </c>
      <c r="K133" s="81" t="str">
        <f>IF($B132="","",IF($B132+1&gt;'Oneri mensili'!$C$4,"",G133*I133*'Oneri mensili'!$C$8))</f>
      </c>
      <c r="L133" s="81" t="str">
        <f t="shared" si="7"/>
      </c>
      <c r="M133" s="81" t="str">
        <f t="shared" si="5"/>
      </c>
      <c r="N133" s="80"/>
      <c r="O133" s="82" t="str">
        <f>IF($B133="","",'Oneri mensili'!$C$8)</f>
      </c>
      <c r="P133" s="82" t="str">
        <f>IF($B133="","",'Oneri mensili'!$C$8*(POWER(1+'Oneri mensili'!$C$8,$B133-1+1)))</f>
      </c>
      <c r="Q133" s="82" t="str">
        <f t="shared" si="8"/>
      </c>
      <c r="R133" s="80"/>
      <c r="S133" s="81" t="str">
        <f t="shared" si="6"/>
      </c>
      <c r="T133" s="81" t="str">
        <f>IF(S133="","",J133/(POWER(1+'Oneri mensili'!$C$8,$B133-1+1)))</f>
      </c>
      <c r="U133" s="83" t="str">
        <f t="shared" si="9"/>
      </c>
      <c r="V133" s="81" t="str">
        <f>IF($B133="","",K133/(POWER(1+'Oneri mensili'!$C$8,$B133-1+1)))</f>
      </c>
      <c r="W133" s="80"/>
    </row>
    <row r="134" spans="1:23" s="85" customFormat="1">
      <c r="A134" s="76"/>
      <c r="B134" s="77" t="str">
        <f>IF($B133="","",IF($B133+1&gt;'Oneri mensili'!$C$4,"",Schema!B133+1))</f>
      </c>
      <c r="C134" s="78" t="str">
        <f>IF($B133="","",IF($B133+1&gt;'Oneri mensili'!$C$4,"",EOMONTH(C133,0)+1))</f>
      </c>
      <c r="D134" s="76"/>
      <c r="E134" s="78" t="str">
        <f>IF($B133="","",IF($B133+1&gt;'Oneri mensili'!$C$4,"",F133+1))</f>
      </c>
      <c r="F134" s="78" t="str">
        <f>IF($B133="","",IF($B133+1&gt;'Oneri mensili'!$C$4,"",EOMONTH(E134,0)))</f>
      </c>
      <c r="G134" s="79" t="str">
        <f>IF($B133="","",IF($B133+1&gt;'Oneri mensili'!$C$4,"",(F134-E134)+1)/DAY(F134))</f>
      </c>
      <c r="H134" s="80"/>
      <c r="I134" s="81" t="str">
        <f>IF($B133="","",IF($B133+1&gt;'Oneri mensili'!$C$4,"",I133-J133))</f>
      </c>
      <c r="J134" s="81" t="str">
        <f>IF($B133="","",IF($B133+1&gt;'Oneri mensili'!$C$4,"",IF(B133&lt;'Oneri mensili'!$C$11-1,0,IF('Oneri mensili'!$C$10=dropdowns!$B$186,'Oneri mensili'!$J$3,IF('Oneri mensili'!$C$10=dropdowns!$B$185,IFERROR('Oneri mensili'!$J$3-K134,0),0)))))</f>
      </c>
      <c r="K134" s="81" t="str">
        <f>IF($B133="","",IF($B133+1&gt;'Oneri mensili'!$C$4,"",G134*I134*'Oneri mensili'!$C$8))</f>
      </c>
      <c r="L134" s="81" t="str">
        <f t="shared" si="7"/>
      </c>
      <c r="M134" s="81" t="str">
        <f t="shared" si="5"/>
      </c>
      <c r="N134" s="80"/>
      <c r="O134" s="82" t="str">
        <f>IF($B134="","",'Oneri mensili'!$C$8)</f>
      </c>
      <c r="P134" s="82" t="str">
        <f>IF($B134="","",'Oneri mensili'!$C$8*(POWER(1+'Oneri mensili'!$C$8,$B134-1+1)))</f>
      </c>
      <c r="Q134" s="82" t="str">
        <f t="shared" si="8"/>
      </c>
      <c r="R134" s="80"/>
      <c r="S134" s="81" t="str">
        <f t="shared" si="6"/>
      </c>
      <c r="T134" s="81" t="str">
        <f>IF(S134="","",J134/(POWER(1+'Oneri mensili'!$C$8,$B134-1+1)))</f>
      </c>
      <c r="U134" s="83" t="str">
        <f t="shared" si="9"/>
      </c>
      <c r="V134" s="81" t="str">
        <f>IF($B134="","",K134/(POWER(1+'Oneri mensili'!$C$8,$B134-1+1)))</f>
      </c>
      <c r="W134" s="80"/>
    </row>
    <row r="135" spans="1:23" s="85" customFormat="1">
      <c r="A135" s="76"/>
      <c r="B135" s="77" t="str">
        <f>IF($B134="","",IF($B134+1&gt;'Oneri mensili'!$C$4,"",Schema!B134+1))</f>
      </c>
      <c r="C135" s="78" t="str">
        <f>IF($B134="","",IF($B134+1&gt;'Oneri mensili'!$C$4,"",EOMONTH(C134,0)+1))</f>
      </c>
      <c r="D135" s="76"/>
      <c r="E135" s="78" t="str">
        <f>IF($B134="","",IF($B134+1&gt;'Oneri mensili'!$C$4,"",F134+1))</f>
      </c>
      <c r="F135" s="78" t="str">
        <f>IF($B134="","",IF($B134+1&gt;'Oneri mensili'!$C$4,"",EOMONTH(E135,0)))</f>
      </c>
      <c r="G135" s="79" t="str">
        <f>IF($B134="","",IF($B134+1&gt;'Oneri mensili'!$C$4,"",(F135-E135)+1)/DAY(F135))</f>
      </c>
      <c r="H135" s="80"/>
      <c r="I135" s="81" t="str">
        <f>IF($B134="","",IF($B134+1&gt;'Oneri mensili'!$C$4,"",I134-J134))</f>
      </c>
      <c r="J135" s="81" t="str">
        <f>IF($B134="","",IF($B134+1&gt;'Oneri mensili'!$C$4,"",IF(B134&lt;'Oneri mensili'!$C$11-1,0,IF('Oneri mensili'!$C$10=dropdowns!$B$186,'Oneri mensili'!$J$3,IF('Oneri mensili'!$C$10=dropdowns!$B$185,IFERROR('Oneri mensili'!$J$3-K135,0),0)))))</f>
      </c>
      <c r="K135" s="81" t="str">
        <f>IF($B134="","",IF($B134+1&gt;'Oneri mensili'!$C$4,"",G135*I135*'Oneri mensili'!$C$8))</f>
      </c>
      <c r="L135" s="81" t="str">
        <f t="shared" si="7"/>
      </c>
      <c r="M135" s="81" t="str">
        <f t="shared" si="5"/>
      </c>
      <c r="N135" s="80"/>
      <c r="O135" s="82" t="str">
        <f>IF($B135="","",'Oneri mensili'!$C$8)</f>
      </c>
      <c r="P135" s="82" t="str">
        <f>IF($B135="","",'Oneri mensili'!$C$8*(POWER(1+'Oneri mensili'!$C$8,$B135-1+1)))</f>
      </c>
      <c r="Q135" s="82" t="str">
        <f t="shared" si="8"/>
      </c>
      <c r="R135" s="80"/>
      <c r="S135" s="81" t="str">
        <f t="shared" si="6"/>
      </c>
      <c r="T135" s="81" t="str">
        <f>IF(S135="","",J135/(POWER(1+'Oneri mensili'!$C$8,$B135-1+1)))</f>
      </c>
      <c r="U135" s="83" t="str">
        <f t="shared" si="9"/>
      </c>
      <c r="V135" s="81" t="str">
        <f>IF($B135="","",K135/(POWER(1+'Oneri mensili'!$C$8,$B135-1+1)))</f>
      </c>
      <c r="W135" s="80"/>
    </row>
    <row r="136" spans="1:23" s="85" customFormat="1">
      <c r="A136" s="76"/>
      <c r="B136" s="77" t="str">
        <f>IF($B135="","",IF($B135+1&gt;'Oneri mensili'!$C$4,"",Schema!B135+1))</f>
      </c>
      <c r="C136" s="78" t="str">
        <f>IF($B135="","",IF($B135+1&gt;'Oneri mensili'!$C$4,"",EOMONTH(C135,0)+1))</f>
      </c>
      <c r="D136" s="76"/>
      <c r="E136" s="78" t="str">
        <f>IF($B135="","",IF($B135+1&gt;'Oneri mensili'!$C$4,"",F135+1))</f>
      </c>
      <c r="F136" s="78" t="str">
        <f>IF($B135="","",IF($B135+1&gt;'Oneri mensili'!$C$4,"",EOMONTH(E136,0)))</f>
      </c>
      <c r="G136" s="79" t="str">
        <f>IF($B135="","",IF($B135+1&gt;'Oneri mensili'!$C$4,"",(F136-E136)+1)/DAY(F136))</f>
      </c>
      <c r="H136" s="80"/>
      <c r="I136" s="81" t="str">
        <f>IF($B135="","",IF($B135+1&gt;'Oneri mensili'!$C$4,"",I135-J135))</f>
      </c>
      <c r="J136" s="81" t="str">
        <f>IF($B135="","",IF($B135+1&gt;'Oneri mensili'!$C$4,"",IF(B135&lt;'Oneri mensili'!$C$11-1,0,IF('Oneri mensili'!$C$10=dropdowns!$B$186,'Oneri mensili'!$J$3,IF('Oneri mensili'!$C$10=dropdowns!$B$185,IFERROR('Oneri mensili'!$J$3-K136,0),0)))))</f>
      </c>
      <c r="K136" s="81" t="str">
        <f>IF($B135="","",IF($B135+1&gt;'Oneri mensili'!$C$4,"",G136*I136*'Oneri mensili'!$C$8))</f>
      </c>
      <c r="L136" s="81" t="str">
        <f t="shared" si="7"/>
      </c>
      <c r="M136" s="81" t="str">
        <f t="shared" si="5"/>
      </c>
      <c r="N136" s="80"/>
      <c r="O136" s="82" t="str">
        <f>IF($B136="","",'Oneri mensili'!$C$8)</f>
      </c>
      <c r="P136" s="82" t="str">
        <f>IF($B136="","",'Oneri mensili'!$C$8*(POWER(1+'Oneri mensili'!$C$8,$B136-1+1)))</f>
      </c>
      <c r="Q136" s="82" t="str">
        <f t="shared" si="8"/>
      </c>
      <c r="R136" s="80"/>
      <c r="S136" s="81" t="str">
        <f t="shared" si="6"/>
      </c>
      <c r="T136" s="81" t="str">
        <f>IF(S136="","",J136/(POWER(1+'Oneri mensili'!$C$8,$B136-1+1)))</f>
      </c>
      <c r="U136" s="83" t="str">
        <f t="shared" si="9"/>
      </c>
      <c r="V136" s="81" t="str">
        <f>IF($B136="","",K136/(POWER(1+'Oneri mensili'!$C$8,$B136-1+1)))</f>
      </c>
      <c r="W136" s="80"/>
    </row>
    <row r="137" spans="1:23" s="85" customFormat="1">
      <c r="A137" s="76"/>
      <c r="B137" s="77" t="str">
        <f>IF($B136="","",IF($B136+1&gt;'Oneri mensili'!$C$4,"",Schema!B136+1))</f>
      </c>
      <c r="C137" s="78" t="str">
        <f>IF($B136="","",IF($B136+1&gt;'Oneri mensili'!$C$4,"",EOMONTH(C136,0)+1))</f>
      </c>
      <c r="D137" s="76"/>
      <c r="E137" s="78" t="str">
        <f>IF($B136="","",IF($B136+1&gt;'Oneri mensili'!$C$4,"",F136+1))</f>
      </c>
      <c r="F137" s="78" t="str">
        <f>IF($B136="","",IF($B136+1&gt;'Oneri mensili'!$C$4,"",EOMONTH(E137,0)))</f>
      </c>
      <c r="G137" s="79" t="str">
        <f>IF($B136="","",IF($B136+1&gt;'Oneri mensili'!$C$4,"",(F137-E137)+1)/DAY(F137))</f>
      </c>
      <c r="H137" s="80"/>
      <c r="I137" s="81" t="str">
        <f>IF($B136="","",IF($B136+1&gt;'Oneri mensili'!$C$4,"",I136-J136))</f>
      </c>
      <c r="J137" s="81" t="str">
        <f>IF($B136="","",IF($B136+1&gt;'Oneri mensili'!$C$4,"",IF(B136&lt;'Oneri mensili'!$C$11-1,0,IF('Oneri mensili'!$C$10=dropdowns!$B$186,'Oneri mensili'!$J$3,IF('Oneri mensili'!$C$10=dropdowns!$B$185,IFERROR('Oneri mensili'!$J$3-K137,0),0)))))</f>
      </c>
      <c r="K137" s="81" t="str">
        <f>IF($B136="","",IF($B136+1&gt;'Oneri mensili'!$C$4,"",G137*I137*'Oneri mensili'!$C$8))</f>
      </c>
      <c r="L137" s="81" t="str">
        <f t="shared" si="7"/>
      </c>
      <c r="M137" s="81" t="str">
        <f t="shared" si="5"/>
      </c>
      <c r="N137" s="80"/>
      <c r="O137" s="82" t="str">
        <f>IF($B137="","",'Oneri mensili'!$C$8)</f>
      </c>
      <c r="P137" s="82" t="str">
        <f>IF($B137="","",'Oneri mensili'!$C$8*(POWER(1+'Oneri mensili'!$C$8,$B137-1+1)))</f>
      </c>
      <c r="Q137" s="82" t="str">
        <f t="shared" si="8"/>
      </c>
      <c r="R137" s="80"/>
      <c r="S137" s="81" t="str">
        <f t="shared" si="6"/>
      </c>
      <c r="T137" s="81" t="str">
        <f>IF(S137="","",J137/(POWER(1+'Oneri mensili'!$C$8,$B137-1+1)))</f>
      </c>
      <c r="U137" s="83" t="str">
        <f t="shared" si="9"/>
      </c>
      <c r="V137" s="81" t="str">
        <f>IF($B137="","",K137/(POWER(1+'Oneri mensili'!$C$8,$B137-1+1)))</f>
      </c>
      <c r="W137" s="80"/>
    </row>
    <row r="138" spans="1:23" s="85" customFormat="1">
      <c r="A138" s="76"/>
      <c r="B138" s="77" t="str">
        <f>IF($B137="","",IF($B137+1&gt;'Oneri mensili'!$C$4,"",Schema!B137+1))</f>
      </c>
      <c r="C138" s="78" t="str">
        <f>IF($B137="","",IF($B137+1&gt;'Oneri mensili'!$C$4,"",EOMONTH(C137,0)+1))</f>
      </c>
      <c r="D138" s="76"/>
      <c r="E138" s="78" t="str">
        <f>IF($B137="","",IF($B137+1&gt;'Oneri mensili'!$C$4,"",F137+1))</f>
      </c>
      <c r="F138" s="78" t="str">
        <f>IF($B137="","",IF($B137+1&gt;'Oneri mensili'!$C$4,"",EOMONTH(E138,0)))</f>
      </c>
      <c r="G138" s="79" t="str">
        <f>IF($B137="","",IF($B137+1&gt;'Oneri mensili'!$C$4,"",(F138-E138)+1)/DAY(F138))</f>
      </c>
      <c r="H138" s="80"/>
      <c r="I138" s="81" t="str">
        <f>IF($B137="","",IF($B137+1&gt;'Oneri mensili'!$C$4,"",I137-J137))</f>
      </c>
      <c r="J138" s="81" t="str">
        <f>IF($B137="","",IF($B137+1&gt;'Oneri mensili'!$C$4,"",IF(B137&lt;'Oneri mensili'!$C$11-1,0,IF('Oneri mensili'!$C$10=dropdowns!$B$186,'Oneri mensili'!$J$3,IF('Oneri mensili'!$C$10=dropdowns!$B$185,IFERROR('Oneri mensili'!$J$3-K138,0),0)))))</f>
      </c>
      <c r="K138" s="81" t="str">
        <f>IF($B137="","",IF($B137+1&gt;'Oneri mensili'!$C$4,"",G138*I138*'Oneri mensili'!$C$8))</f>
      </c>
      <c r="L138" s="81" t="str">
        <f t="shared" si="7"/>
      </c>
      <c r="M138" s="81" t="str">
        <f t="shared" ref="M138:M201" si="10">IF(S138="","",-K138-J138)</f>
      </c>
      <c r="N138" s="80"/>
      <c r="O138" s="82" t="str">
        <f>IF($B138="","",'Oneri mensili'!$C$8)</f>
      </c>
      <c r="P138" s="82" t="str">
        <f>IF($B138="","",'Oneri mensili'!$C$8*(POWER(1+'Oneri mensili'!$C$8,$B138-1+1)))</f>
      </c>
      <c r="Q138" s="82" t="str">
        <f t="shared" si="8"/>
      </c>
      <c r="R138" s="80"/>
      <c r="S138" s="81" t="str">
        <f t="shared" ref="S138:S201" si="11">IF(B138="","",IF(S137-T137&lt;0,"",S137-T137))</f>
      </c>
      <c r="T138" s="81" t="str">
        <f>IF(S138="","",J138/(POWER(1+'Oneri mensili'!$C$8,$B138-1+1)))</f>
      </c>
      <c r="U138" s="83" t="str">
        <f t="shared" si="9"/>
      </c>
      <c r="V138" s="81" t="str">
        <f>IF($B138="","",K138/(POWER(1+'Oneri mensili'!$C$8,$B138-1+1)))</f>
      </c>
      <c r="W138" s="80"/>
    </row>
    <row r="139" spans="1:23" s="85" customFormat="1">
      <c r="A139" s="76"/>
      <c r="B139" s="77" t="str">
        <f>IF($B138="","",IF($B138+1&gt;'Oneri mensili'!$C$4,"",Schema!B138+1))</f>
      </c>
      <c r="C139" s="78" t="str">
        <f>IF($B138="","",IF($B138+1&gt;'Oneri mensili'!$C$4,"",EOMONTH(C138,0)+1))</f>
      </c>
      <c r="D139" s="76"/>
      <c r="E139" s="78" t="str">
        <f>IF($B138="","",IF($B138+1&gt;'Oneri mensili'!$C$4,"",F138+1))</f>
      </c>
      <c r="F139" s="78" t="str">
        <f>IF($B138="","",IF($B138+1&gt;'Oneri mensili'!$C$4,"",EOMONTH(E139,0)))</f>
      </c>
      <c r="G139" s="79" t="str">
        <f>IF($B138="","",IF($B138+1&gt;'Oneri mensili'!$C$4,"",(F139-E139)+1)/DAY(F139))</f>
      </c>
      <c r="H139" s="80"/>
      <c r="I139" s="81" t="str">
        <f>IF($B138="","",IF($B138+1&gt;'Oneri mensili'!$C$4,"",I138-J138))</f>
      </c>
      <c r="J139" s="81" t="str">
        <f>IF($B138="","",IF($B138+1&gt;'Oneri mensili'!$C$4,"",IF(B138&lt;'Oneri mensili'!$C$11-1,0,IF('Oneri mensili'!$C$10=dropdowns!$B$186,'Oneri mensili'!$J$3,IF('Oneri mensili'!$C$10=dropdowns!$B$185,IFERROR('Oneri mensili'!$J$3-K139,0),0)))))</f>
      </c>
      <c r="K139" s="81" t="str">
        <f>IF($B138="","",IF($B138+1&gt;'Oneri mensili'!$C$4,"",G139*I139*'Oneri mensili'!$C$8))</f>
      </c>
      <c r="L139" s="81" t="str">
        <f t="shared" ref="L139:L202" si="12">IF(S139="","",-K139-J139)</f>
      </c>
      <c r="M139" s="81" t="str">
        <f t="shared" si="10"/>
      </c>
      <c r="N139" s="80"/>
      <c r="O139" s="82" t="str">
        <f>IF($B139="","",'Oneri mensili'!$C$8)</f>
      </c>
      <c r="P139" s="82" t="str">
        <f>IF($B139="","",'Oneri mensili'!$C$8*(POWER(1+'Oneri mensili'!$C$8,$B139-1+1)))</f>
      </c>
      <c r="Q139" s="82" t="str">
        <f t="shared" ref="Q139:Q202" si="13">IF($B139="","",IFERROR(J139/T139-1,0))</f>
      </c>
      <c r="R139" s="80"/>
      <c r="S139" s="81" t="str">
        <f t="shared" si="11"/>
      </c>
      <c r="T139" s="81" t="str">
        <f>IF(S139="","",J139/(POWER(1+'Oneri mensili'!$C$8,$B139-1+1)))</f>
      </c>
      <c r="U139" s="83" t="str">
        <f t="shared" ref="U139:U202" si="14">IF(S139="","",T139+V139)</f>
      </c>
      <c r="V139" s="81" t="str">
        <f>IF($B139="","",K139/(POWER(1+'Oneri mensili'!$C$8,$B139-1+1)))</f>
      </c>
      <c r="W139" s="80"/>
    </row>
    <row r="140" spans="1:23" s="85" customFormat="1">
      <c r="A140" s="76"/>
      <c r="B140" s="77" t="str">
        <f>IF($B139="","",IF($B139+1&gt;'Oneri mensili'!$C$4,"",Schema!B139+1))</f>
      </c>
      <c r="C140" s="78" t="str">
        <f>IF($B139="","",IF($B139+1&gt;'Oneri mensili'!$C$4,"",EOMONTH(C139,0)+1))</f>
      </c>
      <c r="D140" s="76"/>
      <c r="E140" s="78" t="str">
        <f>IF($B139="","",IF($B139+1&gt;'Oneri mensili'!$C$4,"",F139+1))</f>
      </c>
      <c r="F140" s="78" t="str">
        <f>IF($B139="","",IF($B139+1&gt;'Oneri mensili'!$C$4,"",EOMONTH(E140,0)))</f>
      </c>
      <c r="G140" s="79" t="str">
        <f>IF($B139="","",IF($B139+1&gt;'Oneri mensili'!$C$4,"",(F140-E140)+1)/DAY(F140))</f>
      </c>
      <c r="H140" s="80"/>
      <c r="I140" s="81" t="str">
        <f>IF($B139="","",IF($B139+1&gt;'Oneri mensili'!$C$4,"",I139-J139))</f>
      </c>
      <c r="J140" s="81" t="str">
        <f>IF($B139="","",IF($B139+1&gt;'Oneri mensili'!$C$4,"",IF(B139&lt;'Oneri mensili'!$C$11-1,0,IF('Oneri mensili'!$C$10=dropdowns!$B$186,'Oneri mensili'!$J$3,IF('Oneri mensili'!$C$10=dropdowns!$B$185,IFERROR('Oneri mensili'!$J$3-K140,0),0)))))</f>
      </c>
      <c r="K140" s="81" t="str">
        <f>IF($B139="","",IF($B139+1&gt;'Oneri mensili'!$C$4,"",G140*I140*'Oneri mensili'!$C$8))</f>
      </c>
      <c r="L140" s="81" t="str">
        <f t="shared" si="12"/>
      </c>
      <c r="M140" s="81" t="str">
        <f t="shared" si="10"/>
      </c>
      <c r="N140" s="80"/>
      <c r="O140" s="82" t="str">
        <f>IF($B140="","",'Oneri mensili'!$C$8)</f>
      </c>
      <c r="P140" s="82" t="str">
        <f>IF($B140="","",'Oneri mensili'!$C$8*(POWER(1+'Oneri mensili'!$C$8,$B140-1+1)))</f>
      </c>
      <c r="Q140" s="82" t="str">
        <f t="shared" si="13"/>
      </c>
      <c r="R140" s="80"/>
      <c r="S140" s="81" t="str">
        <f t="shared" si="11"/>
      </c>
      <c r="T140" s="81" t="str">
        <f>IF(S140="","",J140/(POWER(1+'Oneri mensili'!$C$8,$B140-1+1)))</f>
      </c>
      <c r="U140" s="83" t="str">
        <f t="shared" si="14"/>
      </c>
      <c r="V140" s="81" t="str">
        <f>IF($B140="","",K140/(POWER(1+'Oneri mensili'!$C$8,$B140-1+1)))</f>
      </c>
      <c r="W140" s="80"/>
    </row>
    <row r="141" spans="1:23" s="85" customFormat="1">
      <c r="A141" s="76"/>
      <c r="B141" s="77" t="str">
        <f>IF($B140="","",IF($B140+1&gt;'Oneri mensili'!$C$4,"",Schema!B140+1))</f>
      </c>
      <c r="C141" s="78" t="str">
        <f>IF($B140="","",IF($B140+1&gt;'Oneri mensili'!$C$4,"",EOMONTH(C140,0)+1))</f>
      </c>
      <c r="D141" s="76"/>
      <c r="E141" s="78" t="str">
        <f>IF($B140="","",IF($B140+1&gt;'Oneri mensili'!$C$4,"",F140+1))</f>
      </c>
      <c r="F141" s="78" t="str">
        <f>IF($B140="","",IF($B140+1&gt;'Oneri mensili'!$C$4,"",EOMONTH(E141,0)))</f>
      </c>
      <c r="G141" s="79" t="str">
        <f>IF($B140="","",IF($B140+1&gt;'Oneri mensili'!$C$4,"",(F141-E141)+1)/DAY(F141))</f>
      </c>
      <c r="H141" s="80"/>
      <c r="I141" s="81" t="str">
        <f>IF($B140="","",IF($B140+1&gt;'Oneri mensili'!$C$4,"",I140-J140))</f>
      </c>
      <c r="J141" s="81" t="str">
        <f>IF($B140="","",IF($B140+1&gt;'Oneri mensili'!$C$4,"",IF(B140&lt;'Oneri mensili'!$C$11-1,0,IF('Oneri mensili'!$C$10=dropdowns!$B$186,'Oneri mensili'!$J$3,IF('Oneri mensili'!$C$10=dropdowns!$B$185,IFERROR('Oneri mensili'!$J$3-K141,0),0)))))</f>
      </c>
      <c r="K141" s="81" t="str">
        <f>IF($B140="","",IF($B140+1&gt;'Oneri mensili'!$C$4,"",G141*I141*'Oneri mensili'!$C$8))</f>
      </c>
      <c r="L141" s="81" t="str">
        <f t="shared" si="12"/>
      </c>
      <c r="M141" s="81" t="str">
        <f t="shared" si="10"/>
      </c>
      <c r="N141" s="80"/>
      <c r="O141" s="82" t="str">
        <f>IF($B141="","",'Oneri mensili'!$C$8)</f>
      </c>
      <c r="P141" s="82" t="str">
        <f>IF($B141="","",'Oneri mensili'!$C$8*(POWER(1+'Oneri mensili'!$C$8,$B141-1+1)))</f>
      </c>
      <c r="Q141" s="82" t="str">
        <f t="shared" si="13"/>
      </c>
      <c r="R141" s="80"/>
      <c r="S141" s="81" t="str">
        <f t="shared" si="11"/>
      </c>
      <c r="T141" s="81" t="str">
        <f>IF(S141="","",J141/(POWER(1+'Oneri mensili'!$C$8,$B141-1+1)))</f>
      </c>
      <c r="U141" s="83" t="str">
        <f t="shared" si="14"/>
      </c>
      <c r="V141" s="81" t="str">
        <f>IF($B141="","",K141/(POWER(1+'Oneri mensili'!$C$8,$B141-1+1)))</f>
      </c>
      <c r="W141" s="80"/>
    </row>
    <row r="142" spans="1:23" s="85" customFormat="1">
      <c r="A142" s="76"/>
      <c r="B142" s="77" t="str">
        <f>IF($B141="","",IF($B141+1&gt;'Oneri mensili'!$C$4,"",Schema!B141+1))</f>
      </c>
      <c r="C142" s="78" t="str">
        <f>IF($B141="","",IF($B141+1&gt;'Oneri mensili'!$C$4,"",EOMONTH(C141,0)+1))</f>
      </c>
      <c r="D142" s="76"/>
      <c r="E142" s="78" t="str">
        <f>IF($B141="","",IF($B141+1&gt;'Oneri mensili'!$C$4,"",F141+1))</f>
      </c>
      <c r="F142" s="78" t="str">
        <f>IF($B141="","",IF($B141+1&gt;'Oneri mensili'!$C$4,"",EOMONTH(E142,0)))</f>
      </c>
      <c r="G142" s="79" t="str">
        <f>IF($B141="","",IF($B141+1&gt;'Oneri mensili'!$C$4,"",(F142-E142)+1)/DAY(F142))</f>
      </c>
      <c r="H142" s="80"/>
      <c r="I142" s="81" t="str">
        <f>IF($B141="","",IF($B141+1&gt;'Oneri mensili'!$C$4,"",I141-J141))</f>
      </c>
      <c r="J142" s="81" t="str">
        <f>IF($B141="","",IF($B141+1&gt;'Oneri mensili'!$C$4,"",IF(B141&lt;'Oneri mensili'!$C$11-1,0,IF('Oneri mensili'!$C$10=dropdowns!$B$186,'Oneri mensili'!$J$3,IF('Oneri mensili'!$C$10=dropdowns!$B$185,IFERROR('Oneri mensili'!$J$3-K142,0),0)))))</f>
      </c>
      <c r="K142" s="81" t="str">
        <f>IF($B141="","",IF($B141+1&gt;'Oneri mensili'!$C$4,"",G142*I142*'Oneri mensili'!$C$8))</f>
      </c>
      <c r="L142" s="81" t="str">
        <f t="shared" si="12"/>
      </c>
      <c r="M142" s="81" t="str">
        <f t="shared" si="10"/>
      </c>
      <c r="N142" s="80"/>
      <c r="O142" s="82" t="str">
        <f>IF($B142="","",'Oneri mensili'!$C$8)</f>
      </c>
      <c r="P142" s="82" t="str">
        <f>IF($B142="","",'Oneri mensili'!$C$8*(POWER(1+'Oneri mensili'!$C$8,$B142-1+1)))</f>
      </c>
      <c r="Q142" s="82" t="str">
        <f t="shared" si="13"/>
      </c>
      <c r="R142" s="80"/>
      <c r="S142" s="81" t="str">
        <f t="shared" si="11"/>
      </c>
      <c r="T142" s="81" t="str">
        <f>IF(S142="","",J142/(POWER(1+'Oneri mensili'!$C$8,$B142-1+1)))</f>
      </c>
      <c r="U142" s="83" t="str">
        <f t="shared" si="14"/>
      </c>
      <c r="V142" s="81" t="str">
        <f>IF($B142="","",K142/(POWER(1+'Oneri mensili'!$C$8,$B142-1+1)))</f>
      </c>
      <c r="W142" s="80"/>
    </row>
    <row r="143" spans="1:23" s="85" customFormat="1">
      <c r="A143" s="76"/>
      <c r="B143" s="77" t="str">
        <f>IF($B142="","",IF($B142+1&gt;'Oneri mensili'!$C$4,"",Schema!B142+1))</f>
      </c>
      <c r="C143" s="78" t="str">
        <f>IF($B142="","",IF($B142+1&gt;'Oneri mensili'!$C$4,"",EOMONTH(C142,0)+1))</f>
      </c>
      <c r="D143" s="76"/>
      <c r="E143" s="78" t="str">
        <f>IF($B142="","",IF($B142+1&gt;'Oneri mensili'!$C$4,"",F142+1))</f>
      </c>
      <c r="F143" s="78" t="str">
        <f>IF($B142="","",IF($B142+1&gt;'Oneri mensili'!$C$4,"",EOMONTH(E143,0)))</f>
      </c>
      <c r="G143" s="79" t="str">
        <f>IF($B142="","",IF($B142+1&gt;'Oneri mensili'!$C$4,"",(F143-E143)+1)/DAY(F143))</f>
      </c>
      <c r="H143" s="80"/>
      <c r="I143" s="81" t="str">
        <f>IF($B142="","",IF($B142+1&gt;'Oneri mensili'!$C$4,"",I142-J142))</f>
      </c>
      <c r="J143" s="81" t="str">
        <f>IF($B142="","",IF($B142+1&gt;'Oneri mensili'!$C$4,"",IF(B142&lt;'Oneri mensili'!$C$11-1,0,IF('Oneri mensili'!$C$10=dropdowns!$B$186,'Oneri mensili'!$J$3,IF('Oneri mensili'!$C$10=dropdowns!$B$185,IFERROR('Oneri mensili'!$J$3-K143,0),0)))))</f>
      </c>
      <c r="K143" s="81" t="str">
        <f>IF($B142="","",IF($B142+1&gt;'Oneri mensili'!$C$4,"",G143*I143*'Oneri mensili'!$C$8))</f>
      </c>
      <c r="L143" s="81" t="str">
        <f t="shared" si="12"/>
      </c>
      <c r="M143" s="81" t="str">
        <f t="shared" si="10"/>
      </c>
      <c r="N143" s="80"/>
      <c r="O143" s="82" t="str">
        <f>IF($B143="","",'Oneri mensili'!$C$8)</f>
      </c>
      <c r="P143" s="82" t="str">
        <f>IF($B143="","",'Oneri mensili'!$C$8*(POWER(1+'Oneri mensili'!$C$8,$B143-1+1)))</f>
      </c>
      <c r="Q143" s="82" t="str">
        <f t="shared" si="13"/>
      </c>
      <c r="R143" s="80"/>
      <c r="S143" s="81" t="str">
        <f t="shared" si="11"/>
      </c>
      <c r="T143" s="81" t="str">
        <f>IF(S143="","",J143/(POWER(1+'Oneri mensili'!$C$8,$B143-1+1)))</f>
      </c>
      <c r="U143" s="83" t="str">
        <f t="shared" si="14"/>
      </c>
      <c r="V143" s="81" t="str">
        <f>IF($B143="","",K143/(POWER(1+'Oneri mensili'!$C$8,$B143-1+1)))</f>
      </c>
      <c r="W143" s="80"/>
    </row>
    <row r="144" spans="1:23" s="85" customFormat="1">
      <c r="A144" s="76"/>
      <c r="B144" s="77" t="str">
        <f>IF($B143="","",IF($B143+1&gt;'Oneri mensili'!$C$4,"",Schema!B143+1))</f>
      </c>
      <c r="C144" s="78" t="str">
        <f>IF($B143="","",IF($B143+1&gt;'Oneri mensili'!$C$4,"",EOMONTH(C143,0)+1))</f>
      </c>
      <c r="D144" s="76"/>
      <c r="E144" s="78" t="str">
        <f>IF($B143="","",IF($B143+1&gt;'Oneri mensili'!$C$4,"",F143+1))</f>
      </c>
      <c r="F144" s="78" t="str">
        <f>IF($B143="","",IF($B143+1&gt;'Oneri mensili'!$C$4,"",EOMONTH(E144,0)))</f>
      </c>
      <c r="G144" s="79" t="str">
        <f>IF($B143="","",IF($B143+1&gt;'Oneri mensili'!$C$4,"",(F144-E144)+1)/DAY(F144))</f>
      </c>
      <c r="H144" s="80"/>
      <c r="I144" s="81" t="str">
        <f>IF($B143="","",IF($B143+1&gt;'Oneri mensili'!$C$4,"",I143-J143))</f>
      </c>
      <c r="J144" s="81" t="str">
        <f>IF($B143="","",IF($B143+1&gt;'Oneri mensili'!$C$4,"",IF(B143&lt;'Oneri mensili'!$C$11-1,0,IF('Oneri mensili'!$C$10=dropdowns!$B$186,'Oneri mensili'!$J$3,IF('Oneri mensili'!$C$10=dropdowns!$B$185,IFERROR('Oneri mensili'!$J$3-K144,0),0)))))</f>
      </c>
      <c r="K144" s="81" t="str">
        <f>IF($B143="","",IF($B143+1&gt;'Oneri mensili'!$C$4,"",G144*I144*'Oneri mensili'!$C$8))</f>
      </c>
      <c r="L144" s="81" t="str">
        <f t="shared" si="12"/>
      </c>
      <c r="M144" s="81" t="str">
        <f t="shared" si="10"/>
      </c>
      <c r="N144" s="80"/>
      <c r="O144" s="82" t="str">
        <f>IF($B144="","",'Oneri mensili'!$C$8)</f>
      </c>
      <c r="P144" s="82" t="str">
        <f>IF($B144="","",'Oneri mensili'!$C$8*(POWER(1+'Oneri mensili'!$C$8,$B144-1+1)))</f>
      </c>
      <c r="Q144" s="82" t="str">
        <f t="shared" si="13"/>
      </c>
      <c r="R144" s="80"/>
      <c r="S144" s="81" t="str">
        <f t="shared" si="11"/>
      </c>
      <c r="T144" s="81" t="str">
        <f>IF(S144="","",J144/(POWER(1+'Oneri mensili'!$C$8,$B144-1+1)))</f>
      </c>
      <c r="U144" s="83" t="str">
        <f t="shared" si="14"/>
      </c>
      <c r="V144" s="81" t="str">
        <f>IF($B144="","",K144/(POWER(1+'Oneri mensili'!$C$8,$B144-1+1)))</f>
      </c>
      <c r="W144" s="80"/>
    </row>
    <row r="145" spans="1:23" s="85" customFormat="1">
      <c r="A145" s="76"/>
      <c r="B145" s="77" t="str">
        <f>IF($B144="","",IF($B144+1&gt;'Oneri mensili'!$C$4,"",Schema!B144+1))</f>
      </c>
      <c r="C145" s="78" t="str">
        <f>IF($B144="","",IF($B144+1&gt;'Oneri mensili'!$C$4,"",EOMONTH(C144,0)+1))</f>
      </c>
      <c r="D145" s="76"/>
      <c r="E145" s="78" t="str">
        <f>IF($B144="","",IF($B144+1&gt;'Oneri mensili'!$C$4,"",F144+1))</f>
      </c>
      <c r="F145" s="78" t="str">
        <f>IF($B144="","",IF($B144+1&gt;'Oneri mensili'!$C$4,"",EOMONTH(E145,0)))</f>
      </c>
      <c r="G145" s="79" t="str">
        <f>IF($B144="","",IF($B144+1&gt;'Oneri mensili'!$C$4,"",(F145-E145)+1)/DAY(F145))</f>
      </c>
      <c r="H145" s="80"/>
      <c r="I145" s="81" t="str">
        <f>IF($B144="","",IF($B144+1&gt;'Oneri mensili'!$C$4,"",I144-J144))</f>
      </c>
      <c r="J145" s="81" t="str">
        <f>IF($B144="","",IF($B144+1&gt;'Oneri mensili'!$C$4,"",IF(B144&lt;'Oneri mensili'!$C$11-1,0,IF('Oneri mensili'!$C$10=dropdowns!$B$186,'Oneri mensili'!$J$3,IF('Oneri mensili'!$C$10=dropdowns!$B$185,IFERROR('Oneri mensili'!$J$3-K145,0),0)))))</f>
      </c>
      <c r="K145" s="81" t="str">
        <f>IF($B144="","",IF($B144+1&gt;'Oneri mensili'!$C$4,"",G145*I145*'Oneri mensili'!$C$8))</f>
      </c>
      <c r="L145" s="81" t="str">
        <f t="shared" si="12"/>
      </c>
      <c r="M145" s="81" t="str">
        <f t="shared" si="10"/>
      </c>
      <c r="N145" s="80"/>
      <c r="O145" s="82" t="str">
        <f>IF($B145="","",'Oneri mensili'!$C$8)</f>
      </c>
      <c r="P145" s="82" t="str">
        <f>IF($B145="","",'Oneri mensili'!$C$8*(POWER(1+'Oneri mensili'!$C$8,$B145-1+1)))</f>
      </c>
      <c r="Q145" s="82" t="str">
        <f t="shared" si="13"/>
      </c>
      <c r="R145" s="80"/>
      <c r="S145" s="81" t="str">
        <f t="shared" si="11"/>
      </c>
      <c r="T145" s="81" t="str">
        <f>IF(S145="","",J145/(POWER(1+'Oneri mensili'!$C$8,$B145-1+1)))</f>
      </c>
      <c r="U145" s="83" t="str">
        <f t="shared" si="14"/>
      </c>
      <c r="V145" s="81" t="str">
        <f>IF($B145="","",K145/(POWER(1+'Oneri mensili'!$C$8,$B145-1+1)))</f>
      </c>
      <c r="W145" s="80"/>
    </row>
    <row r="146" spans="1:23" s="85" customFormat="1">
      <c r="A146" s="76"/>
      <c r="B146" s="77" t="str">
        <f>IF($B145="","",IF($B145+1&gt;'Oneri mensili'!$C$4,"",Schema!B145+1))</f>
      </c>
      <c r="C146" s="78" t="str">
        <f>IF($B145="","",IF($B145+1&gt;'Oneri mensili'!$C$4,"",EOMONTH(C145,0)+1))</f>
      </c>
      <c r="D146" s="76"/>
      <c r="E146" s="78" t="str">
        <f>IF($B145="","",IF($B145+1&gt;'Oneri mensili'!$C$4,"",F145+1))</f>
      </c>
      <c r="F146" s="78" t="str">
        <f>IF($B145="","",IF($B145+1&gt;'Oneri mensili'!$C$4,"",EOMONTH(E146,0)))</f>
      </c>
      <c r="G146" s="79" t="str">
        <f>IF($B145="","",IF($B145+1&gt;'Oneri mensili'!$C$4,"",(F146-E146)+1)/DAY(F146))</f>
      </c>
      <c r="H146" s="80"/>
      <c r="I146" s="81" t="str">
        <f>IF($B145="","",IF($B145+1&gt;'Oneri mensili'!$C$4,"",I145-J145))</f>
      </c>
      <c r="J146" s="81" t="str">
        <f>IF($B145="","",IF($B145+1&gt;'Oneri mensili'!$C$4,"",IF(B145&lt;'Oneri mensili'!$C$11-1,0,IF('Oneri mensili'!$C$10=dropdowns!$B$186,'Oneri mensili'!$J$3,IF('Oneri mensili'!$C$10=dropdowns!$B$185,IFERROR('Oneri mensili'!$J$3-K146,0),0)))))</f>
      </c>
      <c r="K146" s="81" t="str">
        <f>IF($B145="","",IF($B145+1&gt;'Oneri mensili'!$C$4,"",G146*I146*'Oneri mensili'!$C$8))</f>
      </c>
      <c r="L146" s="81" t="str">
        <f t="shared" si="12"/>
      </c>
      <c r="M146" s="81" t="str">
        <f t="shared" si="10"/>
      </c>
      <c r="N146" s="80"/>
      <c r="O146" s="82" t="str">
        <f>IF($B146="","",'Oneri mensili'!$C$8)</f>
      </c>
      <c r="P146" s="82" t="str">
        <f>IF($B146="","",'Oneri mensili'!$C$8*(POWER(1+'Oneri mensili'!$C$8,$B146-1+1)))</f>
      </c>
      <c r="Q146" s="82" t="str">
        <f t="shared" si="13"/>
      </c>
      <c r="R146" s="80"/>
      <c r="S146" s="81" t="str">
        <f t="shared" si="11"/>
      </c>
      <c r="T146" s="81" t="str">
        <f>IF(S146="","",J146/(POWER(1+'Oneri mensili'!$C$8,$B146-1+1)))</f>
      </c>
      <c r="U146" s="83" t="str">
        <f t="shared" si="14"/>
      </c>
      <c r="V146" s="81" t="str">
        <f>IF($B146="","",K146/(POWER(1+'Oneri mensili'!$C$8,$B146-1+1)))</f>
      </c>
      <c r="W146" s="80"/>
    </row>
    <row r="147" spans="1:23" s="85" customFormat="1">
      <c r="A147" s="76"/>
      <c r="B147" s="77" t="str">
        <f>IF($B146="","",IF($B146+1&gt;'Oneri mensili'!$C$4,"",Schema!B146+1))</f>
      </c>
      <c r="C147" s="78" t="str">
        <f>IF($B146="","",IF($B146+1&gt;'Oneri mensili'!$C$4,"",EOMONTH(C146,0)+1))</f>
      </c>
      <c r="D147" s="76"/>
      <c r="E147" s="78" t="str">
        <f>IF($B146="","",IF($B146+1&gt;'Oneri mensili'!$C$4,"",F146+1))</f>
      </c>
      <c r="F147" s="78" t="str">
        <f>IF($B146="","",IF($B146+1&gt;'Oneri mensili'!$C$4,"",EOMONTH(E147,0)))</f>
      </c>
      <c r="G147" s="79" t="str">
        <f>IF($B146="","",IF($B146+1&gt;'Oneri mensili'!$C$4,"",(F147-E147)+1)/DAY(F147))</f>
      </c>
      <c r="H147" s="80"/>
      <c r="I147" s="81" t="str">
        <f>IF($B146="","",IF($B146+1&gt;'Oneri mensili'!$C$4,"",I146-J146))</f>
      </c>
      <c r="J147" s="81" t="str">
        <f>IF($B146="","",IF($B146+1&gt;'Oneri mensili'!$C$4,"",IF(B146&lt;'Oneri mensili'!$C$11-1,0,IF('Oneri mensili'!$C$10=dropdowns!$B$186,'Oneri mensili'!$J$3,IF('Oneri mensili'!$C$10=dropdowns!$B$185,IFERROR('Oneri mensili'!$J$3-K147,0),0)))))</f>
      </c>
      <c r="K147" s="81" t="str">
        <f>IF($B146="","",IF($B146+1&gt;'Oneri mensili'!$C$4,"",G147*I147*'Oneri mensili'!$C$8))</f>
      </c>
      <c r="L147" s="81" t="str">
        <f t="shared" si="12"/>
      </c>
      <c r="M147" s="81" t="str">
        <f t="shared" si="10"/>
      </c>
      <c r="N147" s="80"/>
      <c r="O147" s="82" t="str">
        <f>IF($B147="","",'Oneri mensili'!$C$8)</f>
      </c>
      <c r="P147" s="82" t="str">
        <f>IF($B147="","",'Oneri mensili'!$C$8*(POWER(1+'Oneri mensili'!$C$8,$B147-1+1)))</f>
      </c>
      <c r="Q147" s="82" t="str">
        <f t="shared" si="13"/>
      </c>
      <c r="R147" s="80"/>
      <c r="S147" s="81" t="str">
        <f t="shared" si="11"/>
      </c>
      <c r="T147" s="81" t="str">
        <f>IF(S147="","",J147/(POWER(1+'Oneri mensili'!$C$8,$B147-1+1)))</f>
      </c>
      <c r="U147" s="83" t="str">
        <f t="shared" si="14"/>
      </c>
      <c r="V147" s="81" t="str">
        <f>IF($B147="","",K147/(POWER(1+'Oneri mensili'!$C$8,$B147-1+1)))</f>
      </c>
      <c r="W147" s="80"/>
    </row>
    <row r="148" spans="1:23" s="85" customFormat="1">
      <c r="A148" s="76"/>
      <c r="B148" s="77" t="str">
        <f>IF($B147="","",IF($B147+1&gt;'Oneri mensili'!$C$4,"",Schema!B147+1))</f>
      </c>
      <c r="C148" s="78" t="str">
        <f>IF($B147="","",IF($B147+1&gt;'Oneri mensili'!$C$4,"",EOMONTH(C147,0)+1))</f>
      </c>
      <c r="D148" s="76"/>
      <c r="E148" s="78" t="str">
        <f>IF($B147="","",IF($B147+1&gt;'Oneri mensili'!$C$4,"",F147+1))</f>
      </c>
      <c r="F148" s="78" t="str">
        <f>IF($B147="","",IF($B147+1&gt;'Oneri mensili'!$C$4,"",EOMONTH(E148,0)))</f>
      </c>
      <c r="G148" s="79" t="str">
        <f>IF($B147="","",IF($B147+1&gt;'Oneri mensili'!$C$4,"",(F148-E148)+1)/DAY(F148))</f>
      </c>
      <c r="H148" s="80"/>
      <c r="I148" s="81" t="str">
        <f>IF($B147="","",IF($B147+1&gt;'Oneri mensili'!$C$4,"",I147-J147))</f>
      </c>
      <c r="J148" s="81" t="str">
        <f>IF($B147="","",IF($B147+1&gt;'Oneri mensili'!$C$4,"",IF(B147&lt;'Oneri mensili'!$C$11-1,0,IF('Oneri mensili'!$C$10=dropdowns!$B$186,'Oneri mensili'!$J$3,IF('Oneri mensili'!$C$10=dropdowns!$B$185,IFERROR('Oneri mensili'!$J$3-K148,0),0)))))</f>
      </c>
      <c r="K148" s="81" t="str">
        <f>IF($B147="","",IF($B147+1&gt;'Oneri mensili'!$C$4,"",G148*I148*'Oneri mensili'!$C$8))</f>
      </c>
      <c r="L148" s="81" t="str">
        <f t="shared" si="12"/>
      </c>
      <c r="M148" s="81" t="str">
        <f t="shared" si="10"/>
      </c>
      <c r="N148" s="80"/>
      <c r="O148" s="82" t="str">
        <f>IF($B148="","",'Oneri mensili'!$C$8)</f>
      </c>
      <c r="P148" s="82" t="str">
        <f>IF($B148="","",'Oneri mensili'!$C$8*(POWER(1+'Oneri mensili'!$C$8,$B148-1+1)))</f>
      </c>
      <c r="Q148" s="82" t="str">
        <f t="shared" si="13"/>
      </c>
      <c r="R148" s="80"/>
      <c r="S148" s="81" t="str">
        <f t="shared" si="11"/>
      </c>
      <c r="T148" s="81" t="str">
        <f>IF(S148="","",J148/(POWER(1+'Oneri mensili'!$C$8,$B148-1+1)))</f>
      </c>
      <c r="U148" s="83" t="str">
        <f t="shared" si="14"/>
      </c>
      <c r="V148" s="81" t="str">
        <f>IF($B148="","",K148/(POWER(1+'Oneri mensili'!$C$8,$B148-1+1)))</f>
      </c>
      <c r="W148" s="80"/>
    </row>
    <row r="149" spans="1:23" s="85" customFormat="1">
      <c r="A149" s="76"/>
      <c r="B149" s="77" t="str">
        <f>IF($B148="","",IF($B148+1&gt;'Oneri mensili'!$C$4,"",Schema!B148+1))</f>
      </c>
      <c r="C149" s="78" t="str">
        <f>IF($B148="","",IF($B148+1&gt;'Oneri mensili'!$C$4,"",EOMONTH(C148,0)+1))</f>
      </c>
      <c r="D149" s="76"/>
      <c r="E149" s="78" t="str">
        <f>IF($B148="","",IF($B148+1&gt;'Oneri mensili'!$C$4,"",F148+1))</f>
      </c>
      <c r="F149" s="78" t="str">
        <f>IF($B148="","",IF($B148+1&gt;'Oneri mensili'!$C$4,"",EOMONTH(E149,0)))</f>
      </c>
      <c r="G149" s="79" t="str">
        <f>IF($B148="","",IF($B148+1&gt;'Oneri mensili'!$C$4,"",(F149-E149)+1)/DAY(F149))</f>
      </c>
      <c r="H149" s="80"/>
      <c r="I149" s="81" t="str">
        <f>IF($B148="","",IF($B148+1&gt;'Oneri mensili'!$C$4,"",I148-J148))</f>
      </c>
      <c r="J149" s="81" t="str">
        <f>IF($B148="","",IF($B148+1&gt;'Oneri mensili'!$C$4,"",IF(B148&lt;'Oneri mensili'!$C$11-1,0,IF('Oneri mensili'!$C$10=dropdowns!$B$186,'Oneri mensili'!$J$3,IF('Oneri mensili'!$C$10=dropdowns!$B$185,IFERROR('Oneri mensili'!$J$3-K149,0),0)))))</f>
      </c>
      <c r="K149" s="81" t="str">
        <f>IF($B148="","",IF($B148+1&gt;'Oneri mensili'!$C$4,"",G149*I149*'Oneri mensili'!$C$8))</f>
      </c>
      <c r="L149" s="81" t="str">
        <f t="shared" si="12"/>
      </c>
      <c r="M149" s="81" t="str">
        <f t="shared" si="10"/>
      </c>
      <c r="N149" s="80"/>
      <c r="O149" s="82" t="str">
        <f>IF($B149="","",'Oneri mensili'!$C$8)</f>
      </c>
      <c r="P149" s="82" t="str">
        <f>IF($B149="","",'Oneri mensili'!$C$8*(POWER(1+'Oneri mensili'!$C$8,$B149-1+1)))</f>
      </c>
      <c r="Q149" s="82" t="str">
        <f t="shared" si="13"/>
      </c>
      <c r="R149" s="80"/>
      <c r="S149" s="81" t="str">
        <f t="shared" si="11"/>
      </c>
      <c r="T149" s="81" t="str">
        <f>IF(S149="","",J149/(POWER(1+'Oneri mensili'!$C$8,$B149-1+1)))</f>
      </c>
      <c r="U149" s="83" t="str">
        <f t="shared" si="14"/>
      </c>
      <c r="V149" s="81" t="str">
        <f>IF($B149="","",K149/(POWER(1+'Oneri mensili'!$C$8,$B149-1+1)))</f>
      </c>
      <c r="W149" s="80"/>
    </row>
    <row r="150" spans="1:23" s="85" customFormat="1">
      <c r="A150" s="76"/>
      <c r="B150" s="77" t="str">
        <f>IF($B149="","",IF($B149+1&gt;'Oneri mensili'!$C$4,"",Schema!B149+1))</f>
      </c>
      <c r="C150" s="78" t="str">
        <f>IF($B149="","",IF($B149+1&gt;'Oneri mensili'!$C$4,"",EOMONTH(C149,0)+1))</f>
      </c>
      <c r="D150" s="76"/>
      <c r="E150" s="78" t="str">
        <f>IF($B149="","",IF($B149+1&gt;'Oneri mensili'!$C$4,"",F149+1))</f>
      </c>
      <c r="F150" s="78" t="str">
        <f>IF($B149="","",IF($B149+1&gt;'Oneri mensili'!$C$4,"",EOMONTH(E150,0)))</f>
      </c>
      <c r="G150" s="79" t="str">
        <f>IF($B149="","",IF($B149+1&gt;'Oneri mensili'!$C$4,"",(F150-E150)+1)/DAY(F150))</f>
      </c>
      <c r="H150" s="80"/>
      <c r="I150" s="81" t="str">
        <f>IF($B149="","",IF($B149+1&gt;'Oneri mensili'!$C$4,"",I149-J149))</f>
      </c>
      <c r="J150" s="81" t="str">
        <f>IF($B149="","",IF($B149+1&gt;'Oneri mensili'!$C$4,"",IF(B149&lt;'Oneri mensili'!$C$11-1,0,IF('Oneri mensili'!$C$10=dropdowns!$B$186,'Oneri mensili'!$J$3,IF('Oneri mensili'!$C$10=dropdowns!$B$185,IFERROR('Oneri mensili'!$J$3-K150,0),0)))))</f>
      </c>
      <c r="K150" s="81" t="str">
        <f>IF($B149="","",IF($B149+1&gt;'Oneri mensili'!$C$4,"",G150*I150*'Oneri mensili'!$C$8))</f>
      </c>
      <c r="L150" s="81" t="str">
        <f t="shared" si="12"/>
      </c>
      <c r="M150" s="81" t="str">
        <f t="shared" si="10"/>
      </c>
      <c r="N150" s="80"/>
      <c r="O150" s="82" t="str">
        <f>IF($B150="","",'Oneri mensili'!$C$8)</f>
      </c>
      <c r="P150" s="82" t="str">
        <f>IF($B150="","",'Oneri mensili'!$C$8*(POWER(1+'Oneri mensili'!$C$8,$B150-1+1)))</f>
      </c>
      <c r="Q150" s="82" t="str">
        <f t="shared" si="13"/>
      </c>
      <c r="R150" s="80"/>
      <c r="S150" s="81" t="str">
        <f t="shared" si="11"/>
      </c>
      <c r="T150" s="81" t="str">
        <f>IF(S150="","",J150/(POWER(1+'Oneri mensili'!$C$8,$B150-1+1)))</f>
      </c>
      <c r="U150" s="83" t="str">
        <f t="shared" si="14"/>
      </c>
      <c r="V150" s="81" t="str">
        <f>IF($B150="","",K150/(POWER(1+'Oneri mensili'!$C$8,$B150-1+1)))</f>
      </c>
      <c r="W150" s="80"/>
    </row>
    <row r="151" spans="1:23" s="85" customFormat="1">
      <c r="A151" s="76"/>
      <c r="B151" s="77" t="str">
        <f>IF($B150="","",IF($B150+1&gt;'Oneri mensili'!$C$4,"",Schema!B150+1))</f>
      </c>
      <c r="C151" s="78" t="str">
        <f>IF($B150="","",IF($B150+1&gt;'Oneri mensili'!$C$4,"",EOMONTH(C150,0)+1))</f>
      </c>
      <c r="D151" s="76"/>
      <c r="E151" s="78" t="str">
        <f>IF($B150="","",IF($B150+1&gt;'Oneri mensili'!$C$4,"",F150+1))</f>
      </c>
      <c r="F151" s="78" t="str">
        <f>IF($B150="","",IF($B150+1&gt;'Oneri mensili'!$C$4,"",EOMONTH(E151,0)))</f>
      </c>
      <c r="G151" s="79" t="str">
        <f>IF($B150="","",IF($B150+1&gt;'Oneri mensili'!$C$4,"",(F151-E151)+1)/DAY(F151))</f>
      </c>
      <c r="H151" s="80"/>
      <c r="I151" s="81" t="str">
        <f>IF($B150="","",IF($B150+1&gt;'Oneri mensili'!$C$4,"",I150-J150))</f>
      </c>
      <c r="J151" s="81" t="str">
        <f>IF($B150="","",IF($B150+1&gt;'Oneri mensili'!$C$4,"",IF(B150&lt;'Oneri mensili'!$C$11-1,0,IF('Oneri mensili'!$C$10=dropdowns!$B$186,'Oneri mensili'!$J$3,IF('Oneri mensili'!$C$10=dropdowns!$B$185,IFERROR('Oneri mensili'!$J$3-K151,0),0)))))</f>
      </c>
      <c r="K151" s="81" t="str">
        <f>IF($B150="","",IF($B150+1&gt;'Oneri mensili'!$C$4,"",G151*I151*'Oneri mensili'!$C$8))</f>
      </c>
      <c r="L151" s="81" t="str">
        <f t="shared" si="12"/>
      </c>
      <c r="M151" s="81" t="str">
        <f t="shared" si="10"/>
      </c>
      <c r="N151" s="80"/>
      <c r="O151" s="82" t="str">
        <f>IF($B151="","",'Oneri mensili'!$C$8)</f>
      </c>
      <c r="P151" s="82" t="str">
        <f>IF($B151="","",'Oneri mensili'!$C$8*(POWER(1+'Oneri mensili'!$C$8,$B151-1+1)))</f>
      </c>
      <c r="Q151" s="82" t="str">
        <f t="shared" si="13"/>
      </c>
      <c r="R151" s="80"/>
      <c r="S151" s="81" t="str">
        <f t="shared" si="11"/>
      </c>
      <c r="T151" s="81" t="str">
        <f>IF(S151="","",J151/(POWER(1+'Oneri mensili'!$C$8,$B151-1+1)))</f>
      </c>
      <c r="U151" s="83" t="str">
        <f t="shared" si="14"/>
      </c>
      <c r="V151" s="81" t="str">
        <f>IF($B151="","",K151/(POWER(1+'Oneri mensili'!$C$8,$B151-1+1)))</f>
      </c>
      <c r="W151" s="80"/>
    </row>
    <row r="152" spans="1:23" s="85" customFormat="1">
      <c r="A152" s="76"/>
      <c r="B152" s="77" t="str">
        <f>IF($B151="","",IF($B151+1&gt;'Oneri mensili'!$C$4,"",Schema!B151+1))</f>
      </c>
      <c r="C152" s="78" t="str">
        <f>IF($B151="","",IF($B151+1&gt;'Oneri mensili'!$C$4,"",EOMONTH(C151,0)+1))</f>
      </c>
      <c r="D152" s="76"/>
      <c r="E152" s="78" t="str">
        <f>IF($B151="","",IF($B151+1&gt;'Oneri mensili'!$C$4,"",F151+1))</f>
      </c>
      <c r="F152" s="78" t="str">
        <f>IF($B151="","",IF($B151+1&gt;'Oneri mensili'!$C$4,"",EOMONTH(E152,0)))</f>
      </c>
      <c r="G152" s="79" t="str">
        <f>IF($B151="","",IF($B151+1&gt;'Oneri mensili'!$C$4,"",(F152-E152)+1)/DAY(F152))</f>
      </c>
      <c r="H152" s="80"/>
      <c r="I152" s="81" t="str">
        <f>IF($B151="","",IF($B151+1&gt;'Oneri mensili'!$C$4,"",I151-J151))</f>
      </c>
      <c r="J152" s="81" t="str">
        <f>IF($B151="","",IF($B151+1&gt;'Oneri mensili'!$C$4,"",IF(B151&lt;'Oneri mensili'!$C$11-1,0,IF('Oneri mensili'!$C$10=dropdowns!$B$186,'Oneri mensili'!$J$3,IF('Oneri mensili'!$C$10=dropdowns!$B$185,IFERROR('Oneri mensili'!$J$3-K152,0),0)))))</f>
      </c>
      <c r="K152" s="81" t="str">
        <f>IF($B151="","",IF($B151+1&gt;'Oneri mensili'!$C$4,"",G152*I152*'Oneri mensili'!$C$8))</f>
      </c>
      <c r="L152" s="81" t="str">
        <f t="shared" si="12"/>
      </c>
      <c r="M152" s="81" t="str">
        <f t="shared" si="10"/>
      </c>
      <c r="N152" s="80"/>
      <c r="O152" s="82" t="str">
        <f>IF($B152="","",'Oneri mensili'!$C$8)</f>
      </c>
      <c r="P152" s="82" t="str">
        <f>IF($B152="","",'Oneri mensili'!$C$8*(POWER(1+'Oneri mensili'!$C$8,$B152-1+1)))</f>
      </c>
      <c r="Q152" s="82" t="str">
        <f t="shared" si="13"/>
      </c>
      <c r="R152" s="80"/>
      <c r="S152" s="81" t="str">
        <f t="shared" si="11"/>
      </c>
      <c r="T152" s="81" t="str">
        <f>IF(S152="","",J152/(POWER(1+'Oneri mensili'!$C$8,$B152-1+1)))</f>
      </c>
      <c r="U152" s="83" t="str">
        <f t="shared" si="14"/>
      </c>
      <c r="V152" s="81" t="str">
        <f>IF($B152="","",K152/(POWER(1+'Oneri mensili'!$C$8,$B152-1+1)))</f>
      </c>
      <c r="W152" s="80"/>
    </row>
    <row r="153" spans="1:23" s="85" customFormat="1">
      <c r="A153" s="76"/>
      <c r="B153" s="77" t="str">
        <f>IF($B152="","",IF($B152+1&gt;'Oneri mensili'!$C$4,"",Schema!B152+1))</f>
      </c>
      <c r="C153" s="78" t="str">
        <f>IF($B152="","",IF($B152+1&gt;'Oneri mensili'!$C$4,"",EOMONTH(C152,0)+1))</f>
      </c>
      <c r="D153" s="76"/>
      <c r="E153" s="78" t="str">
        <f>IF($B152="","",IF($B152+1&gt;'Oneri mensili'!$C$4,"",F152+1))</f>
      </c>
      <c r="F153" s="78" t="str">
        <f>IF($B152="","",IF($B152+1&gt;'Oneri mensili'!$C$4,"",EOMONTH(E153,0)))</f>
      </c>
      <c r="G153" s="79" t="str">
        <f>IF($B152="","",IF($B152+1&gt;'Oneri mensili'!$C$4,"",(F153-E153)+1)/DAY(F153))</f>
      </c>
      <c r="H153" s="80"/>
      <c r="I153" s="81" t="str">
        <f>IF($B152="","",IF($B152+1&gt;'Oneri mensili'!$C$4,"",I152-J152))</f>
      </c>
      <c r="J153" s="81" t="str">
        <f>IF($B152="","",IF($B152+1&gt;'Oneri mensili'!$C$4,"",IF(B152&lt;'Oneri mensili'!$C$11-1,0,IF('Oneri mensili'!$C$10=dropdowns!$B$186,'Oneri mensili'!$J$3,IF('Oneri mensili'!$C$10=dropdowns!$B$185,IFERROR('Oneri mensili'!$J$3-K153,0),0)))))</f>
      </c>
      <c r="K153" s="81" t="str">
        <f>IF($B152="","",IF($B152+1&gt;'Oneri mensili'!$C$4,"",G153*I153*'Oneri mensili'!$C$8))</f>
      </c>
      <c r="L153" s="81" t="str">
        <f t="shared" si="12"/>
      </c>
      <c r="M153" s="81" t="str">
        <f t="shared" si="10"/>
      </c>
      <c r="N153" s="80"/>
      <c r="O153" s="82" t="str">
        <f>IF($B153="","",'Oneri mensili'!$C$8)</f>
      </c>
      <c r="P153" s="82" t="str">
        <f>IF($B153="","",'Oneri mensili'!$C$8*(POWER(1+'Oneri mensili'!$C$8,$B153-1+1)))</f>
      </c>
      <c r="Q153" s="82" t="str">
        <f t="shared" si="13"/>
      </c>
      <c r="R153" s="80"/>
      <c r="S153" s="81" t="str">
        <f t="shared" si="11"/>
      </c>
      <c r="T153" s="81" t="str">
        <f>IF(S153="","",J153/(POWER(1+'Oneri mensili'!$C$8,$B153-1+1)))</f>
      </c>
      <c r="U153" s="83" t="str">
        <f t="shared" si="14"/>
      </c>
      <c r="V153" s="81" t="str">
        <f>IF($B153="","",K153/(POWER(1+'Oneri mensili'!$C$8,$B153-1+1)))</f>
      </c>
      <c r="W153" s="80"/>
    </row>
    <row r="154" spans="1:23" s="85" customFormat="1">
      <c r="A154" s="76"/>
      <c r="B154" s="77" t="str">
        <f>IF($B153="","",IF($B153+1&gt;'Oneri mensili'!$C$4,"",Schema!B153+1))</f>
      </c>
      <c r="C154" s="78" t="str">
        <f>IF($B153="","",IF($B153+1&gt;'Oneri mensili'!$C$4,"",EOMONTH(C153,0)+1))</f>
      </c>
      <c r="D154" s="76"/>
      <c r="E154" s="78" t="str">
        <f>IF($B153="","",IF($B153+1&gt;'Oneri mensili'!$C$4,"",F153+1))</f>
      </c>
      <c r="F154" s="78" t="str">
        <f>IF($B153="","",IF($B153+1&gt;'Oneri mensili'!$C$4,"",EOMONTH(E154,0)))</f>
      </c>
      <c r="G154" s="79" t="str">
        <f>IF($B153="","",IF($B153+1&gt;'Oneri mensili'!$C$4,"",(F154-E154)+1)/DAY(F154))</f>
      </c>
      <c r="H154" s="80"/>
      <c r="I154" s="81" t="str">
        <f>IF($B153="","",IF($B153+1&gt;'Oneri mensili'!$C$4,"",I153-J153))</f>
      </c>
      <c r="J154" s="81" t="str">
        <f>IF($B153="","",IF($B153+1&gt;'Oneri mensili'!$C$4,"",IF(B153&lt;'Oneri mensili'!$C$11-1,0,IF('Oneri mensili'!$C$10=dropdowns!$B$186,'Oneri mensili'!$J$3,IF('Oneri mensili'!$C$10=dropdowns!$B$185,IFERROR('Oneri mensili'!$J$3-K154,0),0)))))</f>
      </c>
      <c r="K154" s="81" t="str">
        <f>IF($B153="","",IF($B153+1&gt;'Oneri mensili'!$C$4,"",G154*I154*'Oneri mensili'!$C$8))</f>
      </c>
      <c r="L154" s="81" t="str">
        <f t="shared" si="12"/>
      </c>
      <c r="M154" s="81" t="str">
        <f t="shared" si="10"/>
      </c>
      <c r="N154" s="80"/>
      <c r="O154" s="82" t="str">
        <f>IF($B154="","",'Oneri mensili'!$C$8)</f>
      </c>
      <c r="P154" s="82" t="str">
        <f>IF($B154="","",'Oneri mensili'!$C$8*(POWER(1+'Oneri mensili'!$C$8,$B154-1+1)))</f>
      </c>
      <c r="Q154" s="82" t="str">
        <f t="shared" si="13"/>
      </c>
      <c r="R154" s="80"/>
      <c r="S154" s="81" t="str">
        <f t="shared" si="11"/>
      </c>
      <c r="T154" s="81" t="str">
        <f>IF(S154="","",J154/(POWER(1+'Oneri mensili'!$C$8,$B154-1+1)))</f>
      </c>
      <c r="U154" s="83" t="str">
        <f t="shared" si="14"/>
      </c>
      <c r="V154" s="81" t="str">
        <f>IF($B154="","",K154/(POWER(1+'Oneri mensili'!$C$8,$B154-1+1)))</f>
      </c>
      <c r="W154" s="80"/>
    </row>
    <row r="155" spans="1:23" s="85" customFormat="1">
      <c r="A155" s="76"/>
      <c r="B155" s="77" t="str">
        <f>IF($B154="","",IF($B154+1&gt;'Oneri mensili'!$C$4,"",Schema!B154+1))</f>
      </c>
      <c r="C155" s="78" t="str">
        <f>IF($B154="","",IF($B154+1&gt;'Oneri mensili'!$C$4,"",EOMONTH(C154,0)+1))</f>
      </c>
      <c r="D155" s="76"/>
      <c r="E155" s="78" t="str">
        <f>IF($B154="","",IF($B154+1&gt;'Oneri mensili'!$C$4,"",F154+1))</f>
      </c>
      <c r="F155" s="78" t="str">
        <f>IF($B154="","",IF($B154+1&gt;'Oneri mensili'!$C$4,"",EOMONTH(E155,0)))</f>
      </c>
      <c r="G155" s="79" t="str">
        <f>IF($B154="","",IF($B154+1&gt;'Oneri mensili'!$C$4,"",(F155-E155)+1)/DAY(F155))</f>
      </c>
      <c r="H155" s="80"/>
      <c r="I155" s="81" t="str">
        <f>IF($B154="","",IF($B154+1&gt;'Oneri mensili'!$C$4,"",I154-J154))</f>
      </c>
      <c r="J155" s="81" t="str">
        <f>IF($B154="","",IF($B154+1&gt;'Oneri mensili'!$C$4,"",IF(B154&lt;'Oneri mensili'!$C$11-1,0,IF('Oneri mensili'!$C$10=dropdowns!$B$186,'Oneri mensili'!$J$3,IF('Oneri mensili'!$C$10=dropdowns!$B$185,IFERROR('Oneri mensili'!$J$3-K155,0),0)))))</f>
      </c>
      <c r="K155" s="81" t="str">
        <f>IF($B154="","",IF($B154+1&gt;'Oneri mensili'!$C$4,"",G155*I155*'Oneri mensili'!$C$8))</f>
      </c>
      <c r="L155" s="81" t="str">
        <f t="shared" si="12"/>
      </c>
      <c r="M155" s="81" t="str">
        <f t="shared" si="10"/>
      </c>
      <c r="N155" s="80"/>
      <c r="O155" s="82" t="str">
        <f>IF($B155="","",'Oneri mensili'!$C$8)</f>
      </c>
      <c r="P155" s="82" t="str">
        <f>IF($B155="","",'Oneri mensili'!$C$8*(POWER(1+'Oneri mensili'!$C$8,$B155-1+1)))</f>
      </c>
      <c r="Q155" s="82" t="str">
        <f t="shared" si="13"/>
      </c>
      <c r="R155" s="80"/>
      <c r="S155" s="81" t="str">
        <f t="shared" si="11"/>
      </c>
      <c r="T155" s="81" t="str">
        <f>IF(S155="","",J155/(POWER(1+'Oneri mensili'!$C$8,$B155-1+1)))</f>
      </c>
      <c r="U155" s="83" t="str">
        <f t="shared" si="14"/>
      </c>
      <c r="V155" s="81" t="str">
        <f>IF($B155="","",K155/(POWER(1+'Oneri mensili'!$C$8,$B155-1+1)))</f>
      </c>
      <c r="W155" s="80"/>
    </row>
    <row r="156" spans="1:23" s="85" customFormat="1">
      <c r="A156" s="76"/>
      <c r="B156" s="77" t="str">
        <f>IF($B155="","",IF($B155+1&gt;'Oneri mensili'!$C$4,"",Schema!B155+1))</f>
      </c>
      <c r="C156" s="78" t="str">
        <f>IF($B155="","",IF($B155+1&gt;'Oneri mensili'!$C$4,"",EOMONTH(C155,0)+1))</f>
      </c>
      <c r="D156" s="76"/>
      <c r="E156" s="78" t="str">
        <f>IF($B155="","",IF($B155+1&gt;'Oneri mensili'!$C$4,"",F155+1))</f>
      </c>
      <c r="F156" s="78" t="str">
        <f>IF($B155="","",IF($B155+1&gt;'Oneri mensili'!$C$4,"",EOMONTH(E156,0)))</f>
      </c>
      <c r="G156" s="79" t="str">
        <f>IF($B155="","",IF($B155+1&gt;'Oneri mensili'!$C$4,"",(F156-E156)+1)/DAY(F156))</f>
      </c>
      <c r="H156" s="80"/>
      <c r="I156" s="81" t="str">
        <f>IF($B155="","",IF($B155+1&gt;'Oneri mensili'!$C$4,"",I155-J155))</f>
      </c>
      <c r="J156" s="81" t="str">
        <f>IF($B155="","",IF($B155+1&gt;'Oneri mensili'!$C$4,"",IF(B155&lt;'Oneri mensili'!$C$11-1,0,IF('Oneri mensili'!$C$10=dropdowns!$B$186,'Oneri mensili'!$J$3,IF('Oneri mensili'!$C$10=dropdowns!$B$185,IFERROR('Oneri mensili'!$J$3-K156,0),0)))))</f>
      </c>
      <c r="K156" s="81" t="str">
        <f>IF($B155="","",IF($B155+1&gt;'Oneri mensili'!$C$4,"",G156*I156*'Oneri mensili'!$C$8))</f>
      </c>
      <c r="L156" s="81" t="str">
        <f t="shared" si="12"/>
      </c>
      <c r="M156" s="81" t="str">
        <f t="shared" si="10"/>
      </c>
      <c r="N156" s="80"/>
      <c r="O156" s="82" t="str">
        <f>IF($B156="","",'Oneri mensili'!$C$8)</f>
      </c>
      <c r="P156" s="82" t="str">
        <f>IF($B156="","",'Oneri mensili'!$C$8*(POWER(1+'Oneri mensili'!$C$8,$B156-1+1)))</f>
      </c>
      <c r="Q156" s="82" t="str">
        <f t="shared" si="13"/>
      </c>
      <c r="R156" s="80"/>
      <c r="S156" s="81" t="str">
        <f t="shared" si="11"/>
      </c>
      <c r="T156" s="81" t="str">
        <f>IF(S156="","",J156/(POWER(1+'Oneri mensili'!$C$8,$B156-1+1)))</f>
      </c>
      <c r="U156" s="83" t="str">
        <f t="shared" si="14"/>
      </c>
      <c r="V156" s="81" t="str">
        <f>IF($B156="","",K156/(POWER(1+'Oneri mensili'!$C$8,$B156-1+1)))</f>
      </c>
      <c r="W156" s="80"/>
    </row>
    <row r="157" spans="1:23" s="85" customFormat="1">
      <c r="A157" s="76"/>
      <c r="B157" s="77" t="str">
        <f>IF($B156="","",IF($B156+1&gt;'Oneri mensili'!$C$4,"",Schema!B156+1))</f>
      </c>
      <c r="C157" s="78" t="str">
        <f>IF($B156="","",IF($B156+1&gt;'Oneri mensili'!$C$4,"",EOMONTH(C156,0)+1))</f>
      </c>
      <c r="D157" s="76"/>
      <c r="E157" s="78" t="str">
        <f>IF($B156="","",IF($B156+1&gt;'Oneri mensili'!$C$4,"",F156+1))</f>
      </c>
      <c r="F157" s="78" t="str">
        <f>IF($B156="","",IF($B156+1&gt;'Oneri mensili'!$C$4,"",EOMONTH(E157,0)))</f>
      </c>
      <c r="G157" s="79" t="str">
        <f>IF($B156="","",IF($B156+1&gt;'Oneri mensili'!$C$4,"",(F157-E157)+1)/DAY(F157))</f>
      </c>
      <c r="H157" s="80"/>
      <c r="I157" s="81" t="str">
        <f>IF($B156="","",IF($B156+1&gt;'Oneri mensili'!$C$4,"",I156-J156))</f>
      </c>
      <c r="J157" s="81" t="str">
        <f>IF($B156="","",IF($B156+1&gt;'Oneri mensili'!$C$4,"",IF(B156&lt;'Oneri mensili'!$C$11-1,0,IF('Oneri mensili'!$C$10=dropdowns!$B$186,'Oneri mensili'!$J$3,IF('Oneri mensili'!$C$10=dropdowns!$B$185,IFERROR('Oneri mensili'!$J$3-K157,0),0)))))</f>
      </c>
      <c r="K157" s="81" t="str">
        <f>IF($B156="","",IF($B156+1&gt;'Oneri mensili'!$C$4,"",G157*I157*'Oneri mensili'!$C$8))</f>
      </c>
      <c r="L157" s="81" t="str">
        <f t="shared" si="12"/>
      </c>
      <c r="M157" s="81" t="str">
        <f t="shared" si="10"/>
      </c>
      <c r="N157" s="80"/>
      <c r="O157" s="82" t="str">
        <f>IF($B157="","",'Oneri mensili'!$C$8)</f>
      </c>
      <c r="P157" s="82" t="str">
        <f>IF($B157="","",'Oneri mensili'!$C$8*(POWER(1+'Oneri mensili'!$C$8,$B157-1+1)))</f>
      </c>
      <c r="Q157" s="82" t="str">
        <f t="shared" si="13"/>
      </c>
      <c r="R157" s="80"/>
      <c r="S157" s="81" t="str">
        <f t="shared" si="11"/>
      </c>
      <c r="T157" s="81" t="str">
        <f>IF(S157="","",J157/(POWER(1+'Oneri mensili'!$C$8,$B157-1+1)))</f>
      </c>
      <c r="U157" s="83" t="str">
        <f t="shared" si="14"/>
      </c>
      <c r="V157" s="81" t="str">
        <f>IF($B157="","",K157/(POWER(1+'Oneri mensili'!$C$8,$B157-1+1)))</f>
      </c>
      <c r="W157" s="80"/>
    </row>
    <row r="158" spans="1:23" s="85" customFormat="1">
      <c r="A158" s="76"/>
      <c r="B158" s="77" t="str">
        <f>IF($B157="","",IF($B157+1&gt;'Oneri mensili'!$C$4,"",Schema!B157+1))</f>
      </c>
      <c r="C158" s="78" t="str">
        <f>IF($B157="","",IF($B157+1&gt;'Oneri mensili'!$C$4,"",EOMONTH(C157,0)+1))</f>
      </c>
      <c r="D158" s="76"/>
      <c r="E158" s="78" t="str">
        <f>IF($B157="","",IF($B157+1&gt;'Oneri mensili'!$C$4,"",F157+1))</f>
      </c>
      <c r="F158" s="78" t="str">
        <f>IF($B157="","",IF($B157+1&gt;'Oneri mensili'!$C$4,"",EOMONTH(E158,0)))</f>
      </c>
      <c r="G158" s="79" t="str">
        <f>IF($B157="","",IF($B157+1&gt;'Oneri mensili'!$C$4,"",(F158-E158)+1)/DAY(F158))</f>
      </c>
      <c r="H158" s="80"/>
      <c r="I158" s="81" t="str">
        <f>IF($B157="","",IF($B157+1&gt;'Oneri mensili'!$C$4,"",I157-J157))</f>
      </c>
      <c r="J158" s="81" t="str">
        <f>IF($B157="","",IF($B157+1&gt;'Oneri mensili'!$C$4,"",IF(B157&lt;'Oneri mensili'!$C$11-1,0,IF('Oneri mensili'!$C$10=dropdowns!$B$186,'Oneri mensili'!$J$3,IF('Oneri mensili'!$C$10=dropdowns!$B$185,IFERROR('Oneri mensili'!$J$3-K158,0),0)))))</f>
      </c>
      <c r="K158" s="81" t="str">
        <f>IF($B157="","",IF($B157+1&gt;'Oneri mensili'!$C$4,"",G158*I158*'Oneri mensili'!$C$8))</f>
      </c>
      <c r="L158" s="81" t="str">
        <f t="shared" si="12"/>
      </c>
      <c r="M158" s="81" t="str">
        <f t="shared" si="10"/>
      </c>
      <c r="N158" s="80"/>
      <c r="O158" s="82" t="str">
        <f>IF($B158="","",'Oneri mensili'!$C$8)</f>
      </c>
      <c r="P158" s="82" t="str">
        <f>IF($B158="","",'Oneri mensili'!$C$8*(POWER(1+'Oneri mensili'!$C$8,$B158-1+1)))</f>
      </c>
      <c r="Q158" s="82" t="str">
        <f t="shared" si="13"/>
      </c>
      <c r="R158" s="80"/>
      <c r="S158" s="81" t="str">
        <f t="shared" si="11"/>
      </c>
      <c r="T158" s="81" t="str">
        <f>IF(S158="","",J158/(POWER(1+'Oneri mensili'!$C$8,$B158-1+1)))</f>
      </c>
      <c r="U158" s="83" t="str">
        <f t="shared" si="14"/>
      </c>
      <c r="V158" s="81" t="str">
        <f>IF($B158="","",K158/(POWER(1+'Oneri mensili'!$C$8,$B158-1+1)))</f>
      </c>
      <c r="W158" s="80"/>
    </row>
    <row r="159" spans="1:23" s="85" customFormat="1">
      <c r="A159" s="76"/>
      <c r="B159" s="77" t="str">
        <f>IF($B158="","",IF($B158+1&gt;'Oneri mensili'!$C$4,"",Schema!B158+1))</f>
      </c>
      <c r="C159" s="78" t="str">
        <f>IF($B158="","",IF($B158+1&gt;'Oneri mensili'!$C$4,"",EOMONTH(C158,0)+1))</f>
      </c>
      <c r="D159" s="76"/>
      <c r="E159" s="78" t="str">
        <f>IF($B158="","",IF($B158+1&gt;'Oneri mensili'!$C$4,"",F158+1))</f>
      </c>
      <c r="F159" s="78" t="str">
        <f>IF($B158="","",IF($B158+1&gt;'Oneri mensili'!$C$4,"",EOMONTH(E159,0)))</f>
      </c>
      <c r="G159" s="79" t="str">
        <f>IF($B158="","",IF($B158+1&gt;'Oneri mensili'!$C$4,"",(F159-E159)+1)/DAY(F159))</f>
      </c>
      <c r="H159" s="80"/>
      <c r="I159" s="81" t="str">
        <f>IF($B158="","",IF($B158+1&gt;'Oneri mensili'!$C$4,"",I158-J158))</f>
      </c>
      <c r="J159" s="81" t="str">
        <f>IF($B158="","",IF($B158+1&gt;'Oneri mensili'!$C$4,"",IF(B158&lt;'Oneri mensili'!$C$11-1,0,IF('Oneri mensili'!$C$10=dropdowns!$B$186,'Oneri mensili'!$J$3,IF('Oneri mensili'!$C$10=dropdowns!$B$185,IFERROR('Oneri mensili'!$J$3-K159,0),0)))))</f>
      </c>
      <c r="K159" s="81" t="str">
        <f>IF($B158="","",IF($B158+1&gt;'Oneri mensili'!$C$4,"",G159*I159*'Oneri mensili'!$C$8))</f>
      </c>
      <c r="L159" s="81" t="str">
        <f t="shared" si="12"/>
      </c>
      <c r="M159" s="81" t="str">
        <f t="shared" si="10"/>
      </c>
      <c r="N159" s="80"/>
      <c r="O159" s="82" t="str">
        <f>IF($B159="","",'Oneri mensili'!$C$8)</f>
      </c>
      <c r="P159" s="82" t="str">
        <f>IF($B159="","",'Oneri mensili'!$C$8*(POWER(1+'Oneri mensili'!$C$8,$B159-1+1)))</f>
      </c>
      <c r="Q159" s="82" t="str">
        <f t="shared" si="13"/>
      </c>
      <c r="R159" s="80"/>
      <c r="S159" s="81" t="str">
        <f t="shared" si="11"/>
      </c>
      <c r="T159" s="81" t="str">
        <f>IF(S159="","",J159/(POWER(1+'Oneri mensili'!$C$8,$B159-1+1)))</f>
      </c>
      <c r="U159" s="83" t="str">
        <f t="shared" si="14"/>
      </c>
      <c r="V159" s="81" t="str">
        <f>IF($B159="","",K159/(POWER(1+'Oneri mensili'!$C$8,$B159-1+1)))</f>
      </c>
      <c r="W159" s="80"/>
    </row>
    <row r="160" spans="1:23" s="85" customFormat="1">
      <c r="A160" s="76"/>
      <c r="B160" s="77" t="str">
        <f>IF($B159="","",IF($B159+1&gt;'Oneri mensili'!$C$4,"",Schema!B159+1))</f>
      </c>
      <c r="C160" s="78" t="str">
        <f>IF($B159="","",IF($B159+1&gt;'Oneri mensili'!$C$4,"",EOMONTH(C159,0)+1))</f>
      </c>
      <c r="D160" s="76"/>
      <c r="E160" s="78" t="str">
        <f>IF($B159="","",IF($B159+1&gt;'Oneri mensili'!$C$4,"",F159+1))</f>
      </c>
      <c r="F160" s="78" t="str">
        <f>IF($B159="","",IF($B159+1&gt;'Oneri mensili'!$C$4,"",EOMONTH(E160,0)))</f>
      </c>
      <c r="G160" s="79" t="str">
        <f>IF($B159="","",IF($B159+1&gt;'Oneri mensili'!$C$4,"",(F160-E160)+1)/DAY(F160))</f>
      </c>
      <c r="H160" s="80"/>
      <c r="I160" s="81" t="str">
        <f>IF($B159="","",IF($B159+1&gt;'Oneri mensili'!$C$4,"",I159-J159))</f>
      </c>
      <c r="J160" s="81" t="str">
        <f>IF($B159="","",IF($B159+1&gt;'Oneri mensili'!$C$4,"",IF(B159&lt;'Oneri mensili'!$C$11-1,0,IF('Oneri mensili'!$C$10=dropdowns!$B$186,'Oneri mensili'!$J$3,IF('Oneri mensili'!$C$10=dropdowns!$B$185,IFERROR('Oneri mensili'!$J$3-K160,0),0)))))</f>
      </c>
      <c r="K160" s="81" t="str">
        <f>IF($B159="","",IF($B159+1&gt;'Oneri mensili'!$C$4,"",G160*I160*'Oneri mensili'!$C$8))</f>
      </c>
      <c r="L160" s="81" t="str">
        <f t="shared" si="12"/>
      </c>
      <c r="M160" s="81" t="str">
        <f t="shared" si="10"/>
      </c>
      <c r="N160" s="80"/>
      <c r="O160" s="82" t="str">
        <f>IF($B160="","",'Oneri mensili'!$C$8)</f>
      </c>
      <c r="P160" s="82" t="str">
        <f>IF($B160="","",'Oneri mensili'!$C$8*(POWER(1+'Oneri mensili'!$C$8,$B160-1+1)))</f>
      </c>
      <c r="Q160" s="82" t="str">
        <f t="shared" si="13"/>
      </c>
      <c r="R160" s="80"/>
      <c r="S160" s="81" t="str">
        <f t="shared" si="11"/>
      </c>
      <c r="T160" s="81" t="str">
        <f>IF(S160="","",J160/(POWER(1+'Oneri mensili'!$C$8,$B160-1+1)))</f>
      </c>
      <c r="U160" s="83" t="str">
        <f t="shared" si="14"/>
      </c>
      <c r="V160" s="81" t="str">
        <f>IF($B160="","",K160/(POWER(1+'Oneri mensili'!$C$8,$B160-1+1)))</f>
      </c>
      <c r="W160" s="80"/>
    </row>
    <row r="161" spans="1:23" s="85" customFormat="1">
      <c r="A161" s="76"/>
      <c r="B161" s="77" t="str">
        <f>IF($B160="","",IF($B160+1&gt;'Oneri mensili'!$C$4,"",Schema!B160+1))</f>
      </c>
      <c r="C161" s="78" t="str">
        <f>IF($B160="","",IF($B160+1&gt;'Oneri mensili'!$C$4,"",EOMONTH(C160,0)+1))</f>
      </c>
      <c r="D161" s="76"/>
      <c r="E161" s="78" t="str">
        <f>IF($B160="","",IF($B160+1&gt;'Oneri mensili'!$C$4,"",F160+1))</f>
      </c>
      <c r="F161" s="78" t="str">
        <f>IF($B160="","",IF($B160+1&gt;'Oneri mensili'!$C$4,"",EOMONTH(E161,0)))</f>
      </c>
      <c r="G161" s="79" t="str">
        <f>IF($B160="","",IF($B160+1&gt;'Oneri mensili'!$C$4,"",(F161-E161)+1)/DAY(F161))</f>
      </c>
      <c r="H161" s="80"/>
      <c r="I161" s="81" t="str">
        <f>IF($B160="","",IF($B160+1&gt;'Oneri mensili'!$C$4,"",I160-J160))</f>
      </c>
      <c r="J161" s="81" t="str">
        <f>IF($B160="","",IF($B160+1&gt;'Oneri mensili'!$C$4,"",IF(B160&lt;'Oneri mensili'!$C$11-1,0,IF('Oneri mensili'!$C$10=dropdowns!$B$186,'Oneri mensili'!$J$3,IF('Oneri mensili'!$C$10=dropdowns!$B$185,IFERROR('Oneri mensili'!$J$3-K161,0),0)))))</f>
      </c>
      <c r="K161" s="81" t="str">
        <f>IF($B160="","",IF($B160+1&gt;'Oneri mensili'!$C$4,"",G161*I161*'Oneri mensili'!$C$8))</f>
      </c>
      <c r="L161" s="81" t="str">
        <f t="shared" si="12"/>
      </c>
      <c r="M161" s="81" t="str">
        <f t="shared" si="10"/>
      </c>
      <c r="N161" s="80"/>
      <c r="O161" s="82" t="str">
        <f>IF($B161="","",'Oneri mensili'!$C$8)</f>
      </c>
      <c r="P161" s="82" t="str">
        <f>IF($B161="","",'Oneri mensili'!$C$8*(POWER(1+'Oneri mensili'!$C$8,$B161-1+1)))</f>
      </c>
      <c r="Q161" s="82" t="str">
        <f t="shared" si="13"/>
      </c>
      <c r="R161" s="80"/>
      <c r="S161" s="81" t="str">
        <f t="shared" si="11"/>
      </c>
      <c r="T161" s="81" t="str">
        <f>IF(S161="","",J161/(POWER(1+'Oneri mensili'!$C$8,$B161-1+1)))</f>
      </c>
      <c r="U161" s="83" t="str">
        <f t="shared" si="14"/>
      </c>
      <c r="V161" s="81" t="str">
        <f>IF($B161="","",K161/(POWER(1+'Oneri mensili'!$C$8,$B161-1+1)))</f>
      </c>
      <c r="W161" s="80"/>
    </row>
    <row r="162" spans="1:23" s="85" customFormat="1">
      <c r="A162" s="76"/>
      <c r="B162" s="77" t="str">
        <f>IF($B161="","",IF($B161+1&gt;'Oneri mensili'!$C$4,"",Schema!B161+1))</f>
      </c>
      <c r="C162" s="78" t="str">
        <f>IF($B161="","",IF($B161+1&gt;'Oneri mensili'!$C$4,"",EOMONTH(C161,0)+1))</f>
      </c>
      <c r="D162" s="76"/>
      <c r="E162" s="78" t="str">
        <f>IF($B161="","",IF($B161+1&gt;'Oneri mensili'!$C$4,"",F161+1))</f>
      </c>
      <c r="F162" s="78" t="str">
        <f>IF($B161="","",IF($B161+1&gt;'Oneri mensili'!$C$4,"",EOMONTH(E162,0)))</f>
      </c>
      <c r="G162" s="79" t="str">
        <f>IF($B161="","",IF($B161+1&gt;'Oneri mensili'!$C$4,"",(F162-E162)+1)/DAY(F162))</f>
      </c>
      <c r="H162" s="80"/>
      <c r="I162" s="81" t="str">
        <f>IF($B161="","",IF($B161+1&gt;'Oneri mensili'!$C$4,"",I161-J161))</f>
      </c>
      <c r="J162" s="81" t="str">
        <f>IF($B161="","",IF($B161+1&gt;'Oneri mensili'!$C$4,"",IF(B161&lt;'Oneri mensili'!$C$11-1,0,IF('Oneri mensili'!$C$10=dropdowns!$B$186,'Oneri mensili'!$J$3,IF('Oneri mensili'!$C$10=dropdowns!$B$185,IFERROR('Oneri mensili'!$J$3-K162,0),0)))))</f>
      </c>
      <c r="K162" s="81" t="str">
        <f>IF($B161="","",IF($B161+1&gt;'Oneri mensili'!$C$4,"",G162*I162*'Oneri mensili'!$C$8))</f>
      </c>
      <c r="L162" s="81" t="str">
        <f t="shared" si="12"/>
      </c>
      <c r="M162" s="81" t="str">
        <f t="shared" si="10"/>
      </c>
      <c r="N162" s="80"/>
      <c r="O162" s="82" t="str">
        <f>IF($B162="","",'Oneri mensili'!$C$8)</f>
      </c>
      <c r="P162" s="82" t="str">
        <f>IF($B162="","",'Oneri mensili'!$C$8*(POWER(1+'Oneri mensili'!$C$8,$B162-1+1)))</f>
      </c>
      <c r="Q162" s="82" t="str">
        <f t="shared" si="13"/>
      </c>
      <c r="R162" s="80"/>
      <c r="S162" s="81" t="str">
        <f t="shared" si="11"/>
      </c>
      <c r="T162" s="81" t="str">
        <f>IF(S162="","",J162/(POWER(1+'Oneri mensili'!$C$8,$B162-1+1)))</f>
      </c>
      <c r="U162" s="83" t="str">
        <f t="shared" si="14"/>
      </c>
      <c r="V162" s="81" t="str">
        <f>IF($B162="","",K162/(POWER(1+'Oneri mensili'!$C$8,$B162-1+1)))</f>
      </c>
      <c r="W162" s="80"/>
    </row>
    <row r="163" spans="1:23" s="85" customFormat="1">
      <c r="A163" s="76"/>
      <c r="B163" s="77" t="str">
        <f>IF($B162="","",IF($B162+1&gt;'Oneri mensili'!$C$4,"",Schema!B162+1))</f>
      </c>
      <c r="C163" s="78" t="str">
        <f>IF($B162="","",IF($B162+1&gt;'Oneri mensili'!$C$4,"",EOMONTH(C162,0)+1))</f>
      </c>
      <c r="D163" s="76"/>
      <c r="E163" s="78" t="str">
        <f>IF($B162="","",IF($B162+1&gt;'Oneri mensili'!$C$4,"",F162+1))</f>
      </c>
      <c r="F163" s="78" t="str">
        <f>IF($B162="","",IF($B162+1&gt;'Oneri mensili'!$C$4,"",EOMONTH(E163,0)))</f>
      </c>
      <c r="G163" s="79" t="str">
        <f>IF($B162="","",IF($B162+1&gt;'Oneri mensili'!$C$4,"",(F163-E163)+1)/DAY(F163))</f>
      </c>
      <c r="H163" s="80"/>
      <c r="I163" s="81" t="str">
        <f>IF($B162="","",IF($B162+1&gt;'Oneri mensili'!$C$4,"",I162-J162))</f>
      </c>
      <c r="J163" s="81" t="str">
        <f>IF($B162="","",IF($B162+1&gt;'Oneri mensili'!$C$4,"",IF(B162&lt;'Oneri mensili'!$C$11-1,0,IF('Oneri mensili'!$C$10=dropdowns!$B$186,'Oneri mensili'!$J$3,IF('Oneri mensili'!$C$10=dropdowns!$B$185,IFERROR('Oneri mensili'!$J$3-K163,0),0)))))</f>
      </c>
      <c r="K163" s="81" t="str">
        <f>IF($B162="","",IF($B162+1&gt;'Oneri mensili'!$C$4,"",G163*I163*'Oneri mensili'!$C$8))</f>
      </c>
      <c r="L163" s="81" t="str">
        <f t="shared" si="12"/>
      </c>
      <c r="M163" s="81" t="str">
        <f t="shared" si="10"/>
      </c>
      <c r="N163" s="80"/>
      <c r="O163" s="82" t="str">
        <f>IF($B163="","",'Oneri mensili'!$C$8)</f>
      </c>
      <c r="P163" s="82" t="str">
        <f>IF($B163="","",'Oneri mensili'!$C$8*(POWER(1+'Oneri mensili'!$C$8,$B163-1+1)))</f>
      </c>
      <c r="Q163" s="82" t="str">
        <f t="shared" si="13"/>
      </c>
      <c r="R163" s="80"/>
      <c r="S163" s="81" t="str">
        <f t="shared" si="11"/>
      </c>
      <c r="T163" s="81" t="str">
        <f>IF(S163="","",J163/(POWER(1+'Oneri mensili'!$C$8,$B163-1+1)))</f>
      </c>
      <c r="U163" s="83" t="str">
        <f t="shared" si="14"/>
      </c>
      <c r="V163" s="81" t="str">
        <f>IF($B163="","",K163/(POWER(1+'Oneri mensili'!$C$8,$B163-1+1)))</f>
      </c>
      <c r="W163" s="80"/>
    </row>
    <row r="164" spans="1:23" s="85" customFormat="1">
      <c r="A164" s="76"/>
      <c r="B164" s="77" t="str">
        <f>IF($B163="","",IF($B163+1&gt;'Oneri mensili'!$C$4,"",Schema!B163+1))</f>
      </c>
      <c r="C164" s="78" t="str">
        <f>IF($B163="","",IF($B163+1&gt;'Oneri mensili'!$C$4,"",EOMONTH(C163,0)+1))</f>
      </c>
      <c r="D164" s="76"/>
      <c r="E164" s="78" t="str">
        <f>IF($B163="","",IF($B163+1&gt;'Oneri mensili'!$C$4,"",F163+1))</f>
      </c>
      <c r="F164" s="78" t="str">
        <f>IF($B163="","",IF($B163+1&gt;'Oneri mensili'!$C$4,"",EOMONTH(E164,0)))</f>
      </c>
      <c r="G164" s="79" t="str">
        <f>IF($B163="","",IF($B163+1&gt;'Oneri mensili'!$C$4,"",(F164-E164)+1)/DAY(F164))</f>
      </c>
      <c r="H164" s="80"/>
      <c r="I164" s="81" t="str">
        <f>IF($B163="","",IF($B163+1&gt;'Oneri mensili'!$C$4,"",I163-J163))</f>
      </c>
      <c r="J164" s="81" t="str">
        <f>IF($B163="","",IF($B163+1&gt;'Oneri mensili'!$C$4,"",IF(B163&lt;'Oneri mensili'!$C$11-1,0,IF('Oneri mensili'!$C$10=dropdowns!$B$186,'Oneri mensili'!$J$3,IF('Oneri mensili'!$C$10=dropdowns!$B$185,IFERROR('Oneri mensili'!$J$3-K164,0),0)))))</f>
      </c>
      <c r="K164" s="81" t="str">
        <f>IF($B163="","",IF($B163+1&gt;'Oneri mensili'!$C$4,"",G164*I164*'Oneri mensili'!$C$8))</f>
      </c>
      <c r="L164" s="81" t="str">
        <f t="shared" si="12"/>
      </c>
      <c r="M164" s="81" t="str">
        <f t="shared" si="10"/>
      </c>
      <c r="N164" s="80"/>
      <c r="O164" s="82" t="str">
        <f>IF($B164="","",'Oneri mensili'!$C$8)</f>
      </c>
      <c r="P164" s="82" t="str">
        <f>IF($B164="","",'Oneri mensili'!$C$8*(POWER(1+'Oneri mensili'!$C$8,$B164-1+1)))</f>
      </c>
      <c r="Q164" s="82" t="str">
        <f t="shared" si="13"/>
      </c>
      <c r="R164" s="80"/>
      <c r="S164" s="81" t="str">
        <f t="shared" si="11"/>
      </c>
      <c r="T164" s="81" t="str">
        <f>IF(S164="","",J164/(POWER(1+'Oneri mensili'!$C$8,$B164-1+1)))</f>
      </c>
      <c r="U164" s="83" t="str">
        <f t="shared" si="14"/>
      </c>
      <c r="V164" s="81" t="str">
        <f>IF($B164="","",K164/(POWER(1+'Oneri mensili'!$C$8,$B164-1+1)))</f>
      </c>
      <c r="W164" s="80"/>
    </row>
    <row r="165" spans="1:23" s="85" customFormat="1">
      <c r="A165" s="76"/>
      <c r="B165" s="77" t="str">
        <f>IF($B164="","",IF($B164+1&gt;'Oneri mensili'!$C$4,"",Schema!B164+1))</f>
      </c>
      <c r="C165" s="78" t="str">
        <f>IF($B164="","",IF($B164+1&gt;'Oneri mensili'!$C$4,"",EOMONTH(C164,0)+1))</f>
      </c>
      <c r="D165" s="76"/>
      <c r="E165" s="78" t="str">
        <f>IF($B164="","",IF($B164+1&gt;'Oneri mensili'!$C$4,"",F164+1))</f>
      </c>
      <c r="F165" s="78" t="str">
        <f>IF($B164="","",IF($B164+1&gt;'Oneri mensili'!$C$4,"",EOMONTH(E165,0)))</f>
      </c>
      <c r="G165" s="79" t="str">
        <f>IF($B164="","",IF($B164+1&gt;'Oneri mensili'!$C$4,"",(F165-E165)+1)/DAY(F165))</f>
      </c>
      <c r="H165" s="80"/>
      <c r="I165" s="81" t="str">
        <f>IF($B164="","",IF($B164+1&gt;'Oneri mensili'!$C$4,"",I164-J164))</f>
      </c>
      <c r="J165" s="81" t="str">
        <f>IF($B164="","",IF($B164+1&gt;'Oneri mensili'!$C$4,"",IF(B164&lt;'Oneri mensili'!$C$11-1,0,IF('Oneri mensili'!$C$10=dropdowns!$B$186,'Oneri mensili'!$J$3,IF('Oneri mensili'!$C$10=dropdowns!$B$185,IFERROR('Oneri mensili'!$J$3-K165,0),0)))))</f>
      </c>
      <c r="K165" s="81" t="str">
        <f>IF($B164="","",IF($B164+1&gt;'Oneri mensili'!$C$4,"",G165*I165*'Oneri mensili'!$C$8))</f>
      </c>
      <c r="L165" s="81" t="str">
        <f t="shared" si="12"/>
      </c>
      <c r="M165" s="81" t="str">
        <f t="shared" si="10"/>
      </c>
      <c r="N165" s="80"/>
      <c r="O165" s="82" t="str">
        <f>IF($B165="","",'Oneri mensili'!$C$8)</f>
      </c>
      <c r="P165" s="82" t="str">
        <f>IF($B165="","",'Oneri mensili'!$C$8*(POWER(1+'Oneri mensili'!$C$8,$B165-1+1)))</f>
      </c>
      <c r="Q165" s="82" t="str">
        <f t="shared" si="13"/>
      </c>
      <c r="R165" s="80"/>
      <c r="S165" s="81" t="str">
        <f t="shared" si="11"/>
      </c>
      <c r="T165" s="81" t="str">
        <f>IF(S165="","",J165/(POWER(1+'Oneri mensili'!$C$8,$B165-1+1)))</f>
      </c>
      <c r="U165" s="83" t="str">
        <f t="shared" si="14"/>
      </c>
      <c r="V165" s="81" t="str">
        <f>IF($B165="","",K165/(POWER(1+'Oneri mensili'!$C$8,$B165-1+1)))</f>
      </c>
      <c r="W165" s="80"/>
    </row>
    <row r="166" spans="1:23" s="85" customFormat="1">
      <c r="A166" s="76"/>
      <c r="B166" s="77" t="str">
        <f>IF($B165="","",IF($B165+1&gt;'Oneri mensili'!$C$4,"",Schema!B165+1))</f>
      </c>
      <c r="C166" s="78" t="str">
        <f>IF($B165="","",IF($B165+1&gt;'Oneri mensili'!$C$4,"",EOMONTH(C165,0)+1))</f>
      </c>
      <c r="D166" s="76"/>
      <c r="E166" s="78" t="str">
        <f>IF($B165="","",IF($B165+1&gt;'Oneri mensili'!$C$4,"",F165+1))</f>
      </c>
      <c r="F166" s="78" t="str">
        <f>IF($B165="","",IF($B165+1&gt;'Oneri mensili'!$C$4,"",EOMONTH(E166,0)))</f>
      </c>
      <c r="G166" s="79" t="str">
        <f>IF($B165="","",IF($B165+1&gt;'Oneri mensili'!$C$4,"",(F166-E166)+1)/DAY(F166))</f>
      </c>
      <c r="H166" s="80"/>
      <c r="I166" s="81" t="str">
        <f>IF($B165="","",IF($B165+1&gt;'Oneri mensili'!$C$4,"",I165-J165))</f>
      </c>
      <c r="J166" s="81" t="str">
        <f>IF($B165="","",IF($B165+1&gt;'Oneri mensili'!$C$4,"",IF(B165&lt;'Oneri mensili'!$C$11-1,0,IF('Oneri mensili'!$C$10=dropdowns!$B$186,'Oneri mensili'!$J$3,IF('Oneri mensili'!$C$10=dropdowns!$B$185,IFERROR('Oneri mensili'!$J$3-K166,0),0)))))</f>
      </c>
      <c r="K166" s="81" t="str">
        <f>IF($B165="","",IF($B165+1&gt;'Oneri mensili'!$C$4,"",G166*I166*'Oneri mensili'!$C$8))</f>
      </c>
      <c r="L166" s="81" t="str">
        <f t="shared" si="12"/>
      </c>
      <c r="M166" s="81" t="str">
        <f t="shared" si="10"/>
      </c>
      <c r="N166" s="80"/>
      <c r="O166" s="82" t="str">
        <f>IF($B166="","",'Oneri mensili'!$C$8)</f>
      </c>
      <c r="P166" s="82" t="str">
        <f>IF($B166="","",'Oneri mensili'!$C$8*(POWER(1+'Oneri mensili'!$C$8,$B166-1+1)))</f>
      </c>
      <c r="Q166" s="82" t="str">
        <f t="shared" si="13"/>
      </c>
      <c r="R166" s="80"/>
      <c r="S166" s="81" t="str">
        <f t="shared" si="11"/>
      </c>
      <c r="T166" s="81" t="str">
        <f>IF(S166="","",J166/(POWER(1+'Oneri mensili'!$C$8,$B166-1+1)))</f>
      </c>
      <c r="U166" s="83" t="str">
        <f t="shared" si="14"/>
      </c>
      <c r="V166" s="81" t="str">
        <f>IF($B166="","",K166/(POWER(1+'Oneri mensili'!$C$8,$B166-1+1)))</f>
      </c>
      <c r="W166" s="80"/>
    </row>
    <row r="167" spans="1:23" s="85" customFormat="1">
      <c r="A167" s="76"/>
      <c r="B167" s="77" t="str">
        <f>IF($B166="","",IF($B166+1&gt;'Oneri mensili'!$C$4,"",Schema!B166+1))</f>
      </c>
      <c r="C167" s="78" t="str">
        <f>IF($B166="","",IF($B166+1&gt;'Oneri mensili'!$C$4,"",EOMONTH(C166,0)+1))</f>
      </c>
      <c r="D167" s="76"/>
      <c r="E167" s="78" t="str">
        <f>IF($B166="","",IF($B166+1&gt;'Oneri mensili'!$C$4,"",F166+1))</f>
      </c>
      <c r="F167" s="78" t="str">
        <f>IF($B166="","",IF($B166+1&gt;'Oneri mensili'!$C$4,"",EOMONTH(E167,0)))</f>
      </c>
      <c r="G167" s="79" t="str">
        <f>IF($B166="","",IF($B166+1&gt;'Oneri mensili'!$C$4,"",(F167-E167)+1)/DAY(F167))</f>
      </c>
      <c r="H167" s="80"/>
      <c r="I167" s="81" t="str">
        <f>IF($B166="","",IF($B166+1&gt;'Oneri mensili'!$C$4,"",I166-J166))</f>
      </c>
      <c r="J167" s="81" t="str">
        <f>IF($B166="","",IF($B166+1&gt;'Oneri mensili'!$C$4,"",IF(B166&lt;'Oneri mensili'!$C$11-1,0,IF('Oneri mensili'!$C$10=dropdowns!$B$186,'Oneri mensili'!$J$3,IF('Oneri mensili'!$C$10=dropdowns!$B$185,IFERROR('Oneri mensili'!$J$3-K167,0),0)))))</f>
      </c>
      <c r="K167" s="81" t="str">
        <f>IF($B166="","",IF($B166+1&gt;'Oneri mensili'!$C$4,"",G167*I167*'Oneri mensili'!$C$8))</f>
      </c>
      <c r="L167" s="81" t="str">
        <f t="shared" si="12"/>
      </c>
      <c r="M167" s="81" t="str">
        <f t="shared" si="10"/>
      </c>
      <c r="N167" s="80"/>
      <c r="O167" s="82" t="str">
        <f>IF($B167="","",'Oneri mensili'!$C$8)</f>
      </c>
      <c r="P167" s="82" t="str">
        <f>IF($B167="","",'Oneri mensili'!$C$8*(POWER(1+'Oneri mensili'!$C$8,$B167-1+1)))</f>
      </c>
      <c r="Q167" s="82" t="str">
        <f t="shared" si="13"/>
      </c>
      <c r="R167" s="80"/>
      <c r="S167" s="81" t="str">
        <f t="shared" si="11"/>
      </c>
      <c r="T167" s="81" t="str">
        <f>IF(S167="","",J167/(POWER(1+'Oneri mensili'!$C$8,$B167-1+1)))</f>
      </c>
      <c r="U167" s="83" t="str">
        <f t="shared" si="14"/>
      </c>
      <c r="V167" s="81" t="str">
        <f>IF($B167="","",K167/(POWER(1+'Oneri mensili'!$C$8,$B167-1+1)))</f>
      </c>
      <c r="W167" s="80"/>
    </row>
    <row r="168" spans="1:23" s="85" customFormat="1">
      <c r="A168" s="76"/>
      <c r="B168" s="77" t="str">
        <f>IF($B167="","",IF($B167+1&gt;'Oneri mensili'!$C$4,"",Schema!B167+1))</f>
      </c>
      <c r="C168" s="78" t="str">
        <f>IF($B167="","",IF($B167+1&gt;'Oneri mensili'!$C$4,"",EOMONTH(C167,0)+1))</f>
      </c>
      <c r="D168" s="76"/>
      <c r="E168" s="78" t="str">
        <f>IF($B167="","",IF($B167+1&gt;'Oneri mensili'!$C$4,"",F167+1))</f>
      </c>
      <c r="F168" s="78" t="str">
        <f>IF($B167="","",IF($B167+1&gt;'Oneri mensili'!$C$4,"",EOMONTH(E168,0)))</f>
      </c>
      <c r="G168" s="79" t="str">
        <f>IF($B167="","",IF($B167+1&gt;'Oneri mensili'!$C$4,"",(F168-E168)+1)/DAY(F168))</f>
      </c>
      <c r="H168" s="80"/>
      <c r="I168" s="81" t="str">
        <f>IF($B167="","",IF($B167+1&gt;'Oneri mensili'!$C$4,"",I167-J167))</f>
      </c>
      <c r="J168" s="81" t="str">
        <f>IF($B167="","",IF($B167+1&gt;'Oneri mensili'!$C$4,"",IF(B167&lt;'Oneri mensili'!$C$11-1,0,IF('Oneri mensili'!$C$10=dropdowns!$B$186,'Oneri mensili'!$J$3,IF('Oneri mensili'!$C$10=dropdowns!$B$185,IFERROR('Oneri mensili'!$J$3-K168,0),0)))))</f>
      </c>
      <c r="K168" s="81" t="str">
        <f>IF($B167="","",IF($B167+1&gt;'Oneri mensili'!$C$4,"",G168*I168*'Oneri mensili'!$C$8))</f>
      </c>
      <c r="L168" s="81" t="str">
        <f t="shared" si="12"/>
      </c>
      <c r="M168" s="81" t="str">
        <f t="shared" si="10"/>
      </c>
      <c r="N168" s="80"/>
      <c r="O168" s="82" t="str">
        <f>IF($B168="","",'Oneri mensili'!$C$8)</f>
      </c>
      <c r="P168" s="82" t="str">
        <f>IF($B168="","",'Oneri mensili'!$C$8*(POWER(1+'Oneri mensili'!$C$8,$B168-1+1)))</f>
      </c>
      <c r="Q168" s="82" t="str">
        <f t="shared" si="13"/>
      </c>
      <c r="R168" s="80"/>
      <c r="S168" s="81" t="str">
        <f t="shared" si="11"/>
      </c>
      <c r="T168" s="81" t="str">
        <f>IF(S168="","",J168/(POWER(1+'Oneri mensili'!$C$8,$B168-1+1)))</f>
      </c>
      <c r="U168" s="83" t="str">
        <f t="shared" si="14"/>
      </c>
      <c r="V168" s="81" t="str">
        <f>IF($B168="","",K168/(POWER(1+'Oneri mensili'!$C$8,$B168-1+1)))</f>
      </c>
      <c r="W168" s="80"/>
    </row>
    <row r="169" spans="1:23" s="85" customFormat="1">
      <c r="A169" s="76"/>
      <c r="B169" s="77" t="str">
        <f>IF($B168="","",IF($B168+1&gt;'Oneri mensili'!$C$4,"",Schema!B168+1))</f>
      </c>
      <c r="C169" s="78" t="str">
        <f>IF($B168="","",IF($B168+1&gt;'Oneri mensili'!$C$4,"",EOMONTH(C168,0)+1))</f>
      </c>
      <c r="D169" s="76"/>
      <c r="E169" s="78" t="str">
        <f>IF($B168="","",IF($B168+1&gt;'Oneri mensili'!$C$4,"",F168+1))</f>
      </c>
      <c r="F169" s="78" t="str">
        <f>IF($B168="","",IF($B168+1&gt;'Oneri mensili'!$C$4,"",EOMONTH(E169,0)))</f>
      </c>
      <c r="G169" s="79" t="str">
        <f>IF($B168="","",IF($B168+1&gt;'Oneri mensili'!$C$4,"",(F169-E169)+1)/DAY(F169))</f>
      </c>
      <c r="H169" s="80"/>
      <c r="I169" s="81" t="str">
        <f>IF($B168="","",IF($B168+1&gt;'Oneri mensili'!$C$4,"",I168-J168))</f>
      </c>
      <c r="J169" s="81" t="str">
        <f>IF($B168="","",IF($B168+1&gt;'Oneri mensili'!$C$4,"",IF(B168&lt;'Oneri mensili'!$C$11-1,0,IF('Oneri mensili'!$C$10=dropdowns!$B$186,'Oneri mensili'!$J$3,IF('Oneri mensili'!$C$10=dropdowns!$B$185,IFERROR('Oneri mensili'!$J$3-K169,0),0)))))</f>
      </c>
      <c r="K169" s="81" t="str">
        <f>IF($B168="","",IF($B168+1&gt;'Oneri mensili'!$C$4,"",G169*I169*'Oneri mensili'!$C$8))</f>
      </c>
      <c r="L169" s="81" t="str">
        <f t="shared" si="12"/>
      </c>
      <c r="M169" s="81" t="str">
        <f t="shared" si="10"/>
      </c>
      <c r="N169" s="80"/>
      <c r="O169" s="82" t="str">
        <f>IF($B169="","",'Oneri mensili'!$C$8)</f>
      </c>
      <c r="P169" s="82" t="str">
        <f>IF($B169="","",'Oneri mensili'!$C$8*(POWER(1+'Oneri mensili'!$C$8,$B169-1+1)))</f>
      </c>
      <c r="Q169" s="82" t="str">
        <f t="shared" si="13"/>
      </c>
      <c r="R169" s="80"/>
      <c r="S169" s="81" t="str">
        <f t="shared" si="11"/>
      </c>
      <c r="T169" s="81" t="str">
        <f>IF(S169="","",J169/(POWER(1+'Oneri mensili'!$C$8,$B169-1+1)))</f>
      </c>
      <c r="U169" s="83" t="str">
        <f t="shared" si="14"/>
      </c>
      <c r="V169" s="81" t="str">
        <f>IF($B169="","",K169/(POWER(1+'Oneri mensili'!$C$8,$B169-1+1)))</f>
      </c>
      <c r="W169" s="80"/>
    </row>
    <row r="170" spans="1:23" s="85" customFormat="1">
      <c r="A170" s="76"/>
      <c r="B170" s="77" t="str">
        <f>IF($B169="","",IF($B169+1&gt;'Oneri mensili'!$C$4,"",Schema!B169+1))</f>
      </c>
      <c r="C170" s="78" t="str">
        <f>IF($B169="","",IF($B169+1&gt;'Oneri mensili'!$C$4,"",EOMONTH(C169,0)+1))</f>
      </c>
      <c r="D170" s="76"/>
      <c r="E170" s="78" t="str">
        <f>IF($B169="","",IF($B169+1&gt;'Oneri mensili'!$C$4,"",F169+1))</f>
      </c>
      <c r="F170" s="78" t="str">
        <f>IF($B169="","",IF($B169+1&gt;'Oneri mensili'!$C$4,"",EOMONTH(E170,0)))</f>
      </c>
      <c r="G170" s="79" t="str">
        <f>IF($B169="","",IF($B169+1&gt;'Oneri mensili'!$C$4,"",(F170-E170)+1)/DAY(F170))</f>
      </c>
      <c r="H170" s="80"/>
      <c r="I170" s="81" t="str">
        <f>IF($B169="","",IF($B169+1&gt;'Oneri mensili'!$C$4,"",I169-J169))</f>
      </c>
      <c r="J170" s="81" t="str">
        <f>IF($B169="","",IF($B169+1&gt;'Oneri mensili'!$C$4,"",IF(B169&lt;'Oneri mensili'!$C$11-1,0,IF('Oneri mensili'!$C$10=dropdowns!$B$186,'Oneri mensili'!$J$3,IF('Oneri mensili'!$C$10=dropdowns!$B$185,IFERROR('Oneri mensili'!$J$3-K170,0),0)))))</f>
      </c>
      <c r="K170" s="81" t="str">
        <f>IF($B169="","",IF($B169+1&gt;'Oneri mensili'!$C$4,"",G170*I170*'Oneri mensili'!$C$8))</f>
      </c>
      <c r="L170" s="81" t="str">
        <f t="shared" si="12"/>
      </c>
      <c r="M170" s="81" t="str">
        <f t="shared" si="10"/>
      </c>
      <c r="N170" s="80"/>
      <c r="O170" s="82" t="str">
        <f>IF($B170="","",'Oneri mensili'!$C$8)</f>
      </c>
      <c r="P170" s="82" t="str">
        <f>IF($B170="","",'Oneri mensili'!$C$8*(POWER(1+'Oneri mensili'!$C$8,$B170-1+1)))</f>
      </c>
      <c r="Q170" s="82" t="str">
        <f t="shared" si="13"/>
      </c>
      <c r="R170" s="80"/>
      <c r="S170" s="81" t="str">
        <f t="shared" si="11"/>
      </c>
      <c r="T170" s="81" t="str">
        <f>IF(S170="","",J170/(POWER(1+'Oneri mensili'!$C$8,$B170-1+1)))</f>
      </c>
      <c r="U170" s="83" t="str">
        <f t="shared" si="14"/>
      </c>
      <c r="V170" s="81" t="str">
        <f>IF($B170="","",K170/(POWER(1+'Oneri mensili'!$C$8,$B170-1+1)))</f>
      </c>
      <c r="W170" s="80"/>
    </row>
    <row r="171" spans="1:23" s="85" customFormat="1">
      <c r="A171" s="76"/>
      <c r="B171" s="77" t="str">
        <f>IF($B170="","",IF($B170+1&gt;'Oneri mensili'!$C$4,"",Schema!B170+1))</f>
      </c>
      <c r="C171" s="78" t="str">
        <f>IF($B170="","",IF($B170+1&gt;'Oneri mensili'!$C$4,"",EOMONTH(C170,0)+1))</f>
      </c>
      <c r="D171" s="76"/>
      <c r="E171" s="78" t="str">
        <f>IF($B170="","",IF($B170+1&gt;'Oneri mensili'!$C$4,"",F170+1))</f>
      </c>
      <c r="F171" s="78" t="str">
        <f>IF($B170="","",IF($B170+1&gt;'Oneri mensili'!$C$4,"",EOMONTH(E171,0)))</f>
      </c>
      <c r="G171" s="79" t="str">
        <f>IF($B170="","",IF($B170+1&gt;'Oneri mensili'!$C$4,"",(F171-E171)+1)/DAY(F171))</f>
      </c>
      <c r="H171" s="80"/>
      <c r="I171" s="81" t="str">
        <f>IF($B170="","",IF($B170+1&gt;'Oneri mensili'!$C$4,"",I170-J170))</f>
      </c>
      <c r="J171" s="81" t="str">
        <f>IF($B170="","",IF($B170+1&gt;'Oneri mensili'!$C$4,"",IF(B170&lt;'Oneri mensili'!$C$11-1,0,IF('Oneri mensili'!$C$10=dropdowns!$B$186,'Oneri mensili'!$J$3,IF('Oneri mensili'!$C$10=dropdowns!$B$185,IFERROR('Oneri mensili'!$J$3-K171,0),0)))))</f>
      </c>
      <c r="K171" s="81" t="str">
        <f>IF($B170="","",IF($B170+1&gt;'Oneri mensili'!$C$4,"",G171*I171*'Oneri mensili'!$C$8))</f>
      </c>
      <c r="L171" s="81" t="str">
        <f t="shared" si="12"/>
      </c>
      <c r="M171" s="81" t="str">
        <f t="shared" si="10"/>
      </c>
      <c r="N171" s="80"/>
      <c r="O171" s="82" t="str">
        <f>IF($B171="","",'Oneri mensili'!$C$8)</f>
      </c>
      <c r="P171" s="82" t="str">
        <f>IF($B171="","",'Oneri mensili'!$C$8*(POWER(1+'Oneri mensili'!$C$8,$B171-1+1)))</f>
      </c>
      <c r="Q171" s="82" t="str">
        <f t="shared" si="13"/>
      </c>
      <c r="R171" s="80"/>
      <c r="S171" s="81" t="str">
        <f t="shared" si="11"/>
      </c>
      <c r="T171" s="81" t="str">
        <f>IF(S171="","",J171/(POWER(1+'Oneri mensili'!$C$8,$B171-1+1)))</f>
      </c>
      <c r="U171" s="83" t="str">
        <f t="shared" si="14"/>
      </c>
      <c r="V171" s="81" t="str">
        <f>IF($B171="","",K171/(POWER(1+'Oneri mensili'!$C$8,$B171-1+1)))</f>
      </c>
      <c r="W171" s="80"/>
    </row>
    <row r="172" spans="1:23" s="85" customFormat="1">
      <c r="A172" s="76"/>
      <c r="B172" s="77" t="str">
        <f>IF($B171="","",IF($B171+1&gt;'Oneri mensili'!$C$4,"",Schema!B171+1))</f>
      </c>
      <c r="C172" s="78" t="str">
        <f>IF($B171="","",IF($B171+1&gt;'Oneri mensili'!$C$4,"",EOMONTH(C171,0)+1))</f>
      </c>
      <c r="D172" s="76"/>
      <c r="E172" s="78" t="str">
        <f>IF($B171="","",IF($B171+1&gt;'Oneri mensili'!$C$4,"",F171+1))</f>
      </c>
      <c r="F172" s="78" t="str">
        <f>IF($B171="","",IF($B171+1&gt;'Oneri mensili'!$C$4,"",EOMONTH(E172,0)))</f>
      </c>
      <c r="G172" s="79" t="str">
        <f>IF($B171="","",IF($B171+1&gt;'Oneri mensili'!$C$4,"",(F172-E172)+1)/DAY(F172))</f>
      </c>
      <c r="H172" s="80"/>
      <c r="I172" s="81" t="str">
        <f>IF($B171="","",IF($B171+1&gt;'Oneri mensili'!$C$4,"",I171-J171))</f>
      </c>
      <c r="J172" s="81" t="str">
        <f>IF($B171="","",IF($B171+1&gt;'Oneri mensili'!$C$4,"",IF(B171&lt;'Oneri mensili'!$C$11-1,0,IF('Oneri mensili'!$C$10=dropdowns!$B$186,'Oneri mensili'!$J$3,IF('Oneri mensili'!$C$10=dropdowns!$B$185,IFERROR('Oneri mensili'!$J$3-K172,0),0)))))</f>
      </c>
      <c r="K172" s="81" t="str">
        <f>IF($B171="","",IF($B171+1&gt;'Oneri mensili'!$C$4,"",G172*I172*'Oneri mensili'!$C$8))</f>
      </c>
      <c r="L172" s="81" t="str">
        <f t="shared" si="12"/>
      </c>
      <c r="M172" s="81" t="str">
        <f t="shared" si="10"/>
      </c>
      <c r="N172" s="80"/>
      <c r="O172" s="82" t="str">
        <f>IF($B172="","",'Oneri mensili'!$C$8)</f>
      </c>
      <c r="P172" s="82" t="str">
        <f>IF($B172="","",'Oneri mensili'!$C$8*(POWER(1+'Oneri mensili'!$C$8,$B172-1+1)))</f>
      </c>
      <c r="Q172" s="82" t="str">
        <f t="shared" si="13"/>
      </c>
      <c r="R172" s="80"/>
      <c r="S172" s="81" t="str">
        <f t="shared" si="11"/>
      </c>
      <c r="T172" s="81" t="str">
        <f>IF(S172="","",J172/(POWER(1+'Oneri mensili'!$C$8,$B172-1+1)))</f>
      </c>
      <c r="U172" s="83" t="str">
        <f t="shared" si="14"/>
      </c>
      <c r="V172" s="81" t="str">
        <f>IF($B172="","",K172/(POWER(1+'Oneri mensili'!$C$8,$B172-1+1)))</f>
      </c>
      <c r="W172" s="80"/>
    </row>
    <row r="173" spans="1:23" s="85" customFormat="1">
      <c r="A173" s="76"/>
      <c r="B173" s="77" t="str">
        <f>IF($B172="","",IF($B172+1&gt;'Oneri mensili'!$C$4,"",Schema!B172+1))</f>
      </c>
      <c r="C173" s="78" t="str">
        <f>IF($B172="","",IF($B172+1&gt;'Oneri mensili'!$C$4,"",EOMONTH(C172,0)+1))</f>
      </c>
      <c r="D173" s="76"/>
      <c r="E173" s="78" t="str">
        <f>IF($B172="","",IF($B172+1&gt;'Oneri mensili'!$C$4,"",F172+1))</f>
      </c>
      <c r="F173" s="78" t="str">
        <f>IF($B172="","",IF($B172+1&gt;'Oneri mensili'!$C$4,"",EOMONTH(E173,0)))</f>
      </c>
      <c r="G173" s="79" t="str">
        <f>IF($B172="","",IF($B172+1&gt;'Oneri mensili'!$C$4,"",(F173-E173)+1)/DAY(F173))</f>
      </c>
      <c r="H173" s="80"/>
      <c r="I173" s="81" t="str">
        <f>IF($B172="","",IF($B172+1&gt;'Oneri mensili'!$C$4,"",I172-J172))</f>
      </c>
      <c r="J173" s="81" t="str">
        <f>IF($B172="","",IF($B172+1&gt;'Oneri mensili'!$C$4,"",IF(B172&lt;'Oneri mensili'!$C$11-1,0,IF('Oneri mensili'!$C$10=dropdowns!$B$186,'Oneri mensili'!$J$3,IF('Oneri mensili'!$C$10=dropdowns!$B$185,IFERROR('Oneri mensili'!$J$3-K173,0),0)))))</f>
      </c>
      <c r="K173" s="81" t="str">
        <f>IF($B172="","",IF($B172+1&gt;'Oneri mensili'!$C$4,"",G173*I173*'Oneri mensili'!$C$8))</f>
      </c>
      <c r="L173" s="81" t="str">
        <f t="shared" si="12"/>
      </c>
      <c r="M173" s="81" t="str">
        <f t="shared" si="10"/>
      </c>
      <c r="N173" s="80"/>
      <c r="O173" s="82" t="str">
        <f>IF($B173="","",'Oneri mensili'!$C$8)</f>
      </c>
      <c r="P173" s="82" t="str">
        <f>IF($B173="","",'Oneri mensili'!$C$8*(POWER(1+'Oneri mensili'!$C$8,$B173-1+1)))</f>
      </c>
      <c r="Q173" s="82" t="str">
        <f t="shared" si="13"/>
      </c>
      <c r="R173" s="80"/>
      <c r="S173" s="81" t="str">
        <f t="shared" si="11"/>
      </c>
      <c r="T173" s="81" t="str">
        <f>IF(S173="","",J173/(POWER(1+'Oneri mensili'!$C$8,$B173-1+1)))</f>
      </c>
      <c r="U173" s="83" t="str">
        <f t="shared" si="14"/>
      </c>
      <c r="V173" s="81" t="str">
        <f>IF($B173="","",K173/(POWER(1+'Oneri mensili'!$C$8,$B173-1+1)))</f>
      </c>
      <c r="W173" s="80"/>
    </row>
    <row r="174" spans="1:23" s="85" customFormat="1">
      <c r="A174" s="76"/>
      <c r="B174" s="77" t="str">
        <f>IF($B173="","",IF($B173+1&gt;'Oneri mensili'!$C$4,"",Schema!B173+1))</f>
      </c>
      <c r="C174" s="78" t="str">
        <f>IF($B173="","",IF($B173+1&gt;'Oneri mensili'!$C$4,"",EOMONTH(C173,0)+1))</f>
      </c>
      <c r="D174" s="76"/>
      <c r="E174" s="78" t="str">
        <f>IF($B173="","",IF($B173+1&gt;'Oneri mensili'!$C$4,"",F173+1))</f>
      </c>
      <c r="F174" s="78" t="str">
        <f>IF($B173="","",IF($B173+1&gt;'Oneri mensili'!$C$4,"",EOMONTH(E174,0)))</f>
      </c>
      <c r="G174" s="79" t="str">
        <f>IF($B173="","",IF($B173+1&gt;'Oneri mensili'!$C$4,"",(F174-E174)+1)/DAY(F174))</f>
      </c>
      <c r="H174" s="80"/>
      <c r="I174" s="81" t="str">
        <f>IF($B173="","",IF($B173+1&gt;'Oneri mensili'!$C$4,"",I173-J173))</f>
      </c>
      <c r="J174" s="81" t="str">
        <f>IF($B173="","",IF($B173+1&gt;'Oneri mensili'!$C$4,"",IF(B173&lt;'Oneri mensili'!$C$11-1,0,IF('Oneri mensili'!$C$10=dropdowns!$B$186,'Oneri mensili'!$J$3,IF('Oneri mensili'!$C$10=dropdowns!$B$185,IFERROR('Oneri mensili'!$J$3-K174,0),0)))))</f>
      </c>
      <c r="K174" s="81" t="str">
        <f>IF($B173="","",IF($B173+1&gt;'Oneri mensili'!$C$4,"",G174*I174*'Oneri mensili'!$C$8))</f>
      </c>
      <c r="L174" s="81" t="str">
        <f t="shared" si="12"/>
      </c>
      <c r="M174" s="81" t="str">
        <f t="shared" si="10"/>
      </c>
      <c r="N174" s="80"/>
      <c r="O174" s="82" t="str">
        <f>IF($B174="","",'Oneri mensili'!$C$8)</f>
      </c>
      <c r="P174" s="82" t="str">
        <f>IF($B174="","",'Oneri mensili'!$C$8*(POWER(1+'Oneri mensili'!$C$8,$B174-1+1)))</f>
      </c>
      <c r="Q174" s="82" t="str">
        <f t="shared" si="13"/>
      </c>
      <c r="R174" s="80"/>
      <c r="S174" s="81" t="str">
        <f t="shared" si="11"/>
      </c>
      <c r="T174" s="81" t="str">
        <f>IF(S174="","",J174/(POWER(1+'Oneri mensili'!$C$8,$B174-1+1)))</f>
      </c>
      <c r="U174" s="83" t="str">
        <f t="shared" si="14"/>
      </c>
      <c r="V174" s="81" t="str">
        <f>IF($B174="","",K174/(POWER(1+'Oneri mensili'!$C$8,$B174-1+1)))</f>
      </c>
      <c r="W174" s="80"/>
    </row>
    <row r="175" spans="1:23" s="85" customFormat="1">
      <c r="A175" s="76"/>
      <c r="B175" s="77" t="str">
        <f>IF($B174="","",IF($B174+1&gt;'Oneri mensili'!$C$4,"",Schema!B174+1))</f>
      </c>
      <c r="C175" s="78" t="str">
        <f>IF($B174="","",IF($B174+1&gt;'Oneri mensili'!$C$4,"",EOMONTH(C174,0)+1))</f>
      </c>
      <c r="D175" s="76"/>
      <c r="E175" s="78" t="str">
        <f>IF($B174="","",IF($B174+1&gt;'Oneri mensili'!$C$4,"",F174+1))</f>
      </c>
      <c r="F175" s="78" t="str">
        <f>IF($B174="","",IF($B174+1&gt;'Oneri mensili'!$C$4,"",EOMONTH(E175,0)))</f>
      </c>
      <c r="G175" s="79" t="str">
        <f>IF($B174="","",IF($B174+1&gt;'Oneri mensili'!$C$4,"",(F175-E175)+1)/DAY(F175))</f>
      </c>
      <c r="H175" s="80"/>
      <c r="I175" s="81" t="str">
        <f>IF($B174="","",IF($B174+1&gt;'Oneri mensili'!$C$4,"",I174-J174))</f>
      </c>
      <c r="J175" s="81" t="str">
        <f>IF($B174="","",IF($B174+1&gt;'Oneri mensili'!$C$4,"",IF(B174&lt;'Oneri mensili'!$C$11-1,0,IF('Oneri mensili'!$C$10=dropdowns!$B$186,'Oneri mensili'!$J$3,IF('Oneri mensili'!$C$10=dropdowns!$B$185,IFERROR('Oneri mensili'!$J$3-K175,0),0)))))</f>
      </c>
      <c r="K175" s="81" t="str">
        <f>IF($B174="","",IF($B174+1&gt;'Oneri mensili'!$C$4,"",G175*I175*'Oneri mensili'!$C$8))</f>
      </c>
      <c r="L175" s="81" t="str">
        <f t="shared" si="12"/>
      </c>
      <c r="M175" s="81" t="str">
        <f t="shared" si="10"/>
      </c>
      <c r="N175" s="80"/>
      <c r="O175" s="82" t="str">
        <f>IF($B175="","",'Oneri mensili'!$C$8)</f>
      </c>
      <c r="P175" s="82" t="str">
        <f>IF($B175="","",'Oneri mensili'!$C$8*(POWER(1+'Oneri mensili'!$C$8,$B175-1+1)))</f>
      </c>
      <c r="Q175" s="82" t="str">
        <f t="shared" si="13"/>
      </c>
      <c r="R175" s="80"/>
      <c r="S175" s="81" t="str">
        <f t="shared" si="11"/>
      </c>
      <c r="T175" s="81" t="str">
        <f>IF(S175="","",J175/(POWER(1+'Oneri mensili'!$C$8,$B175-1+1)))</f>
      </c>
      <c r="U175" s="83" t="str">
        <f t="shared" si="14"/>
      </c>
      <c r="V175" s="81" t="str">
        <f>IF($B175="","",K175/(POWER(1+'Oneri mensili'!$C$8,$B175-1+1)))</f>
      </c>
      <c r="W175" s="80"/>
    </row>
    <row r="176" spans="1:23" s="85" customFormat="1">
      <c r="A176" s="76"/>
      <c r="B176" s="77" t="str">
        <f>IF($B175="","",IF($B175+1&gt;'Oneri mensili'!$C$4,"",Schema!B175+1))</f>
      </c>
      <c r="C176" s="78" t="str">
        <f>IF($B175="","",IF($B175+1&gt;'Oneri mensili'!$C$4,"",EOMONTH(C175,0)+1))</f>
      </c>
      <c r="D176" s="76"/>
      <c r="E176" s="78" t="str">
        <f>IF($B175="","",IF($B175+1&gt;'Oneri mensili'!$C$4,"",F175+1))</f>
      </c>
      <c r="F176" s="78" t="str">
        <f>IF($B175="","",IF($B175+1&gt;'Oneri mensili'!$C$4,"",EOMONTH(E176,0)))</f>
      </c>
      <c r="G176" s="79" t="str">
        <f>IF($B175="","",IF($B175+1&gt;'Oneri mensili'!$C$4,"",(F176-E176)+1)/DAY(F176))</f>
      </c>
      <c r="H176" s="80"/>
      <c r="I176" s="81" t="str">
        <f>IF($B175="","",IF($B175+1&gt;'Oneri mensili'!$C$4,"",I175-J175))</f>
      </c>
      <c r="J176" s="81" t="str">
        <f>IF($B175="","",IF($B175+1&gt;'Oneri mensili'!$C$4,"",IF(B175&lt;'Oneri mensili'!$C$11-1,0,IF('Oneri mensili'!$C$10=dropdowns!$B$186,'Oneri mensili'!$J$3,IF('Oneri mensili'!$C$10=dropdowns!$B$185,IFERROR('Oneri mensili'!$J$3-K176,0),0)))))</f>
      </c>
      <c r="K176" s="81" t="str">
        <f>IF($B175="","",IF($B175+1&gt;'Oneri mensili'!$C$4,"",G176*I176*'Oneri mensili'!$C$8))</f>
      </c>
      <c r="L176" s="81" t="str">
        <f t="shared" si="12"/>
      </c>
      <c r="M176" s="81" t="str">
        <f t="shared" si="10"/>
      </c>
      <c r="N176" s="80"/>
      <c r="O176" s="82" t="str">
        <f>IF($B176="","",'Oneri mensili'!$C$8)</f>
      </c>
      <c r="P176" s="82" t="str">
        <f>IF($B176="","",'Oneri mensili'!$C$8*(POWER(1+'Oneri mensili'!$C$8,$B176-1+1)))</f>
      </c>
      <c r="Q176" s="82" t="str">
        <f t="shared" si="13"/>
      </c>
      <c r="R176" s="80"/>
      <c r="S176" s="81" t="str">
        <f t="shared" si="11"/>
      </c>
      <c r="T176" s="81" t="str">
        <f>IF(S176="","",J176/(POWER(1+'Oneri mensili'!$C$8,$B176-1+1)))</f>
      </c>
      <c r="U176" s="83" t="str">
        <f t="shared" si="14"/>
      </c>
      <c r="V176" s="81" t="str">
        <f>IF($B176="","",K176/(POWER(1+'Oneri mensili'!$C$8,$B176-1+1)))</f>
      </c>
      <c r="W176" s="80"/>
    </row>
    <row r="177" spans="1:23" s="85" customFormat="1">
      <c r="A177" s="76"/>
      <c r="B177" s="77" t="str">
        <f>IF($B176="","",IF($B176+1&gt;'Oneri mensili'!$C$4,"",Schema!B176+1))</f>
      </c>
      <c r="C177" s="78" t="str">
        <f>IF($B176="","",IF($B176+1&gt;'Oneri mensili'!$C$4,"",EOMONTH(C176,0)+1))</f>
      </c>
      <c r="D177" s="76"/>
      <c r="E177" s="78" t="str">
        <f>IF($B176="","",IF($B176+1&gt;'Oneri mensili'!$C$4,"",F176+1))</f>
      </c>
      <c r="F177" s="78" t="str">
        <f>IF($B176="","",IF($B176+1&gt;'Oneri mensili'!$C$4,"",EOMONTH(E177,0)))</f>
      </c>
      <c r="G177" s="79" t="str">
        <f>IF($B176="","",IF($B176+1&gt;'Oneri mensili'!$C$4,"",(F177-E177)+1)/DAY(F177))</f>
      </c>
      <c r="H177" s="80"/>
      <c r="I177" s="81" t="str">
        <f>IF($B176="","",IF($B176+1&gt;'Oneri mensili'!$C$4,"",I176-J176))</f>
      </c>
      <c r="J177" s="81" t="str">
        <f>IF($B176="","",IF($B176+1&gt;'Oneri mensili'!$C$4,"",IF(B176&lt;'Oneri mensili'!$C$11-1,0,IF('Oneri mensili'!$C$10=dropdowns!$B$186,'Oneri mensili'!$J$3,IF('Oneri mensili'!$C$10=dropdowns!$B$185,IFERROR('Oneri mensili'!$J$3-K177,0),0)))))</f>
      </c>
      <c r="K177" s="81" t="str">
        <f>IF($B176="","",IF($B176+1&gt;'Oneri mensili'!$C$4,"",G177*I177*'Oneri mensili'!$C$8))</f>
      </c>
      <c r="L177" s="81" t="str">
        <f t="shared" si="12"/>
      </c>
      <c r="M177" s="81" t="str">
        <f t="shared" si="10"/>
      </c>
      <c r="N177" s="80"/>
      <c r="O177" s="82" t="str">
        <f>IF($B177="","",'Oneri mensili'!$C$8)</f>
      </c>
      <c r="P177" s="82" t="str">
        <f>IF($B177="","",'Oneri mensili'!$C$8*(POWER(1+'Oneri mensili'!$C$8,$B177-1+1)))</f>
      </c>
      <c r="Q177" s="82" t="str">
        <f t="shared" si="13"/>
      </c>
      <c r="R177" s="80"/>
      <c r="S177" s="81" t="str">
        <f t="shared" si="11"/>
      </c>
      <c r="T177" s="81" t="str">
        <f>IF(S177="","",J177/(POWER(1+'Oneri mensili'!$C$8,$B177-1+1)))</f>
      </c>
      <c r="U177" s="83" t="str">
        <f t="shared" si="14"/>
      </c>
      <c r="V177" s="81" t="str">
        <f>IF($B177="","",K177/(POWER(1+'Oneri mensili'!$C$8,$B177-1+1)))</f>
      </c>
      <c r="W177" s="80"/>
    </row>
    <row r="178" spans="1:23" s="85" customFormat="1">
      <c r="A178" s="76"/>
      <c r="B178" s="77" t="str">
        <f>IF($B177="","",IF($B177+1&gt;'Oneri mensili'!$C$4,"",Schema!B177+1))</f>
      </c>
      <c r="C178" s="78" t="str">
        <f>IF($B177="","",IF($B177+1&gt;'Oneri mensili'!$C$4,"",EOMONTH(C177,0)+1))</f>
      </c>
      <c r="D178" s="76"/>
      <c r="E178" s="78" t="str">
        <f>IF($B177="","",IF($B177+1&gt;'Oneri mensili'!$C$4,"",F177+1))</f>
      </c>
      <c r="F178" s="78" t="str">
        <f>IF($B177="","",IF($B177+1&gt;'Oneri mensili'!$C$4,"",EOMONTH(E178,0)))</f>
      </c>
      <c r="G178" s="79" t="str">
        <f>IF($B177="","",IF($B177+1&gt;'Oneri mensili'!$C$4,"",(F178-E178)+1)/DAY(F178))</f>
      </c>
      <c r="H178" s="80"/>
      <c r="I178" s="81" t="str">
        <f>IF($B177="","",IF($B177+1&gt;'Oneri mensili'!$C$4,"",I177-J177))</f>
      </c>
      <c r="J178" s="81" t="str">
        <f>IF($B177="","",IF($B177+1&gt;'Oneri mensili'!$C$4,"",IF(B177&lt;'Oneri mensili'!$C$11-1,0,IF('Oneri mensili'!$C$10=dropdowns!$B$186,'Oneri mensili'!$J$3,IF('Oneri mensili'!$C$10=dropdowns!$B$185,IFERROR('Oneri mensili'!$J$3-K178,0),0)))))</f>
      </c>
      <c r="K178" s="81" t="str">
        <f>IF($B177="","",IF($B177+1&gt;'Oneri mensili'!$C$4,"",G178*I178*'Oneri mensili'!$C$8))</f>
      </c>
      <c r="L178" s="81" t="str">
        <f t="shared" si="12"/>
      </c>
      <c r="M178" s="81" t="str">
        <f t="shared" si="10"/>
      </c>
      <c r="N178" s="80"/>
      <c r="O178" s="82" t="str">
        <f>IF($B178="","",'Oneri mensili'!$C$8)</f>
      </c>
      <c r="P178" s="82" t="str">
        <f>IF($B178="","",'Oneri mensili'!$C$8*(POWER(1+'Oneri mensili'!$C$8,$B178-1+1)))</f>
      </c>
      <c r="Q178" s="82" t="str">
        <f t="shared" si="13"/>
      </c>
      <c r="R178" s="80"/>
      <c r="S178" s="81" t="str">
        <f t="shared" si="11"/>
      </c>
      <c r="T178" s="81" t="str">
        <f>IF(S178="","",J178/(POWER(1+'Oneri mensili'!$C$8,$B178-1+1)))</f>
      </c>
      <c r="U178" s="83" t="str">
        <f t="shared" si="14"/>
      </c>
      <c r="V178" s="81" t="str">
        <f>IF($B178="","",K178/(POWER(1+'Oneri mensili'!$C$8,$B178-1+1)))</f>
      </c>
      <c r="W178" s="80"/>
    </row>
    <row r="179" spans="1:23" s="85" customFormat="1">
      <c r="A179" s="76"/>
      <c r="B179" s="77" t="str">
        <f>IF($B178="","",IF($B178+1&gt;'Oneri mensili'!$C$4,"",Schema!B178+1))</f>
      </c>
      <c r="C179" s="78" t="str">
        <f>IF($B178="","",IF($B178+1&gt;'Oneri mensili'!$C$4,"",EOMONTH(C178,0)+1))</f>
      </c>
      <c r="D179" s="76"/>
      <c r="E179" s="78" t="str">
        <f>IF($B178="","",IF($B178+1&gt;'Oneri mensili'!$C$4,"",F178+1))</f>
      </c>
      <c r="F179" s="78" t="str">
        <f>IF($B178="","",IF($B178+1&gt;'Oneri mensili'!$C$4,"",EOMONTH(E179,0)))</f>
      </c>
      <c r="G179" s="79" t="str">
        <f>IF($B178="","",IF($B178+1&gt;'Oneri mensili'!$C$4,"",(F179-E179)+1)/DAY(F179))</f>
      </c>
      <c r="H179" s="80"/>
      <c r="I179" s="81" t="str">
        <f>IF($B178="","",IF($B178+1&gt;'Oneri mensili'!$C$4,"",I178-J178))</f>
      </c>
      <c r="J179" s="81" t="str">
        <f>IF($B178="","",IF($B178+1&gt;'Oneri mensili'!$C$4,"",IF(B178&lt;'Oneri mensili'!$C$11-1,0,IF('Oneri mensili'!$C$10=dropdowns!$B$186,'Oneri mensili'!$J$3,IF('Oneri mensili'!$C$10=dropdowns!$B$185,IFERROR('Oneri mensili'!$J$3-K179,0),0)))))</f>
      </c>
      <c r="K179" s="81" t="str">
        <f>IF($B178="","",IF($B178+1&gt;'Oneri mensili'!$C$4,"",G179*I179*'Oneri mensili'!$C$8))</f>
      </c>
      <c r="L179" s="81" t="str">
        <f t="shared" si="12"/>
      </c>
      <c r="M179" s="81" t="str">
        <f t="shared" si="10"/>
      </c>
      <c r="N179" s="80"/>
      <c r="O179" s="82" t="str">
        <f>IF($B179="","",'Oneri mensili'!$C$8)</f>
      </c>
      <c r="P179" s="82" t="str">
        <f>IF($B179="","",'Oneri mensili'!$C$8*(POWER(1+'Oneri mensili'!$C$8,$B179-1+1)))</f>
      </c>
      <c r="Q179" s="82" t="str">
        <f t="shared" si="13"/>
      </c>
      <c r="R179" s="80"/>
      <c r="S179" s="81" t="str">
        <f t="shared" si="11"/>
      </c>
      <c r="T179" s="81" t="str">
        <f>IF(S179="","",J179/(POWER(1+'Oneri mensili'!$C$8,$B179-1+1)))</f>
      </c>
      <c r="U179" s="83" t="str">
        <f t="shared" si="14"/>
      </c>
      <c r="V179" s="81" t="str">
        <f>IF($B179="","",K179/(POWER(1+'Oneri mensili'!$C$8,$B179-1+1)))</f>
      </c>
      <c r="W179" s="80"/>
    </row>
    <row r="180" spans="1:23" s="85" customFormat="1">
      <c r="A180" s="76"/>
      <c r="B180" s="77" t="str">
        <f>IF($B179="","",IF($B179+1&gt;'Oneri mensili'!$C$4,"",Schema!B179+1))</f>
      </c>
      <c r="C180" s="78" t="str">
        <f>IF($B179="","",IF($B179+1&gt;'Oneri mensili'!$C$4,"",EOMONTH(C179,0)+1))</f>
      </c>
      <c r="D180" s="76"/>
      <c r="E180" s="78" t="str">
        <f>IF($B179="","",IF($B179+1&gt;'Oneri mensili'!$C$4,"",F179+1))</f>
      </c>
      <c r="F180" s="78" t="str">
        <f>IF($B179="","",IF($B179+1&gt;'Oneri mensili'!$C$4,"",EOMONTH(E180,0)))</f>
      </c>
      <c r="G180" s="79" t="str">
        <f>IF($B179="","",IF($B179+1&gt;'Oneri mensili'!$C$4,"",(F180-E180)+1)/DAY(F180))</f>
      </c>
      <c r="H180" s="80"/>
      <c r="I180" s="81" t="str">
        <f>IF($B179="","",IF($B179+1&gt;'Oneri mensili'!$C$4,"",I179-J179))</f>
      </c>
      <c r="J180" s="81" t="str">
        <f>IF($B179="","",IF($B179+1&gt;'Oneri mensili'!$C$4,"",IF(B179&lt;'Oneri mensili'!$C$11-1,0,IF('Oneri mensili'!$C$10=dropdowns!$B$186,'Oneri mensili'!$J$3,IF('Oneri mensili'!$C$10=dropdowns!$B$185,IFERROR('Oneri mensili'!$J$3-K180,0),0)))))</f>
      </c>
      <c r="K180" s="81" t="str">
        <f>IF($B179="","",IF($B179+1&gt;'Oneri mensili'!$C$4,"",G180*I180*'Oneri mensili'!$C$8))</f>
      </c>
      <c r="L180" s="81" t="str">
        <f t="shared" si="12"/>
      </c>
      <c r="M180" s="81" t="str">
        <f t="shared" si="10"/>
      </c>
      <c r="N180" s="80"/>
      <c r="O180" s="82" t="str">
        <f>IF($B180="","",'Oneri mensili'!$C$8)</f>
      </c>
      <c r="P180" s="82" t="str">
        <f>IF($B180="","",'Oneri mensili'!$C$8*(POWER(1+'Oneri mensili'!$C$8,$B180-1+1)))</f>
      </c>
      <c r="Q180" s="82" t="str">
        <f t="shared" si="13"/>
      </c>
      <c r="R180" s="80"/>
      <c r="S180" s="81" t="str">
        <f t="shared" si="11"/>
      </c>
      <c r="T180" s="81" t="str">
        <f>IF(S180="","",J180/(POWER(1+'Oneri mensili'!$C$8,$B180-1+1)))</f>
      </c>
      <c r="U180" s="83" t="str">
        <f t="shared" si="14"/>
      </c>
      <c r="V180" s="81" t="str">
        <f>IF($B180="","",K180/(POWER(1+'Oneri mensili'!$C$8,$B180-1+1)))</f>
      </c>
      <c r="W180" s="80"/>
    </row>
    <row r="181" spans="1:23" s="85" customFormat="1">
      <c r="A181" s="76"/>
      <c r="B181" s="77" t="str">
        <f>IF($B180="","",IF($B180+1&gt;'Oneri mensili'!$C$4,"",Schema!B180+1))</f>
      </c>
      <c r="C181" s="78" t="str">
        <f>IF($B180="","",IF($B180+1&gt;'Oneri mensili'!$C$4,"",EOMONTH(C180,0)+1))</f>
      </c>
      <c r="D181" s="76"/>
      <c r="E181" s="78" t="str">
        <f>IF($B180="","",IF($B180+1&gt;'Oneri mensili'!$C$4,"",F180+1))</f>
      </c>
      <c r="F181" s="78" t="str">
        <f>IF($B180="","",IF($B180+1&gt;'Oneri mensili'!$C$4,"",EOMONTH(E181,0)))</f>
      </c>
      <c r="G181" s="79" t="str">
        <f>IF($B180="","",IF($B180+1&gt;'Oneri mensili'!$C$4,"",(F181-E181)+1)/DAY(F181))</f>
      </c>
      <c r="H181" s="80"/>
      <c r="I181" s="81" t="str">
        <f>IF($B180="","",IF($B180+1&gt;'Oneri mensili'!$C$4,"",I180-J180))</f>
      </c>
      <c r="J181" s="81" t="str">
        <f>IF($B180="","",IF($B180+1&gt;'Oneri mensili'!$C$4,"",IF(B180&lt;'Oneri mensili'!$C$11-1,0,IF('Oneri mensili'!$C$10=dropdowns!$B$186,'Oneri mensili'!$J$3,IF('Oneri mensili'!$C$10=dropdowns!$B$185,IFERROR('Oneri mensili'!$J$3-K181,0),0)))))</f>
      </c>
      <c r="K181" s="81" t="str">
        <f>IF($B180="","",IF($B180+1&gt;'Oneri mensili'!$C$4,"",G181*I181*'Oneri mensili'!$C$8))</f>
      </c>
      <c r="L181" s="81" t="str">
        <f t="shared" si="12"/>
      </c>
      <c r="M181" s="81" t="str">
        <f t="shared" si="10"/>
      </c>
      <c r="N181" s="80"/>
      <c r="O181" s="82" t="str">
        <f>IF($B181="","",'Oneri mensili'!$C$8)</f>
      </c>
      <c r="P181" s="82" t="str">
        <f>IF($B181="","",'Oneri mensili'!$C$8*(POWER(1+'Oneri mensili'!$C$8,$B181-1+1)))</f>
      </c>
      <c r="Q181" s="82" t="str">
        <f t="shared" si="13"/>
      </c>
      <c r="R181" s="80"/>
      <c r="S181" s="81" t="str">
        <f t="shared" si="11"/>
      </c>
      <c r="T181" s="81" t="str">
        <f>IF(S181="","",J181/(POWER(1+'Oneri mensili'!$C$8,$B181-1+1)))</f>
      </c>
      <c r="U181" s="83" t="str">
        <f t="shared" si="14"/>
      </c>
      <c r="V181" s="81" t="str">
        <f>IF($B181="","",K181/(POWER(1+'Oneri mensili'!$C$8,$B181-1+1)))</f>
      </c>
      <c r="W181" s="80"/>
    </row>
    <row r="182" spans="1:23" s="85" customFormat="1">
      <c r="A182" s="76"/>
      <c r="B182" s="77" t="str">
        <f>IF($B181="","",IF($B181+1&gt;'Oneri mensili'!$C$4,"",Schema!B181+1))</f>
      </c>
      <c r="C182" s="78" t="str">
        <f>IF($B181="","",IF($B181+1&gt;'Oneri mensili'!$C$4,"",EOMONTH(C181,0)+1))</f>
      </c>
      <c r="D182" s="76"/>
      <c r="E182" s="78" t="str">
        <f>IF($B181="","",IF($B181+1&gt;'Oneri mensili'!$C$4,"",F181+1))</f>
      </c>
      <c r="F182" s="78" t="str">
        <f>IF($B181="","",IF($B181+1&gt;'Oneri mensili'!$C$4,"",EOMONTH(E182,0)))</f>
      </c>
      <c r="G182" s="79" t="str">
        <f>IF($B181="","",IF($B181+1&gt;'Oneri mensili'!$C$4,"",(F182-E182)+1)/DAY(F182))</f>
      </c>
      <c r="H182" s="80"/>
      <c r="I182" s="81" t="str">
        <f>IF($B181="","",IF($B181+1&gt;'Oneri mensili'!$C$4,"",I181-J181))</f>
      </c>
      <c r="J182" s="81" t="str">
        <f>IF($B181="","",IF($B181+1&gt;'Oneri mensili'!$C$4,"",IF(B181&lt;'Oneri mensili'!$C$11-1,0,IF('Oneri mensili'!$C$10=dropdowns!$B$186,'Oneri mensili'!$J$3,IF('Oneri mensili'!$C$10=dropdowns!$B$185,IFERROR('Oneri mensili'!$J$3-K182,0),0)))))</f>
      </c>
      <c r="K182" s="81" t="str">
        <f>IF($B181="","",IF($B181+1&gt;'Oneri mensili'!$C$4,"",G182*I182*'Oneri mensili'!$C$8))</f>
      </c>
      <c r="L182" s="81" t="str">
        <f t="shared" si="12"/>
      </c>
      <c r="M182" s="81" t="str">
        <f t="shared" si="10"/>
      </c>
      <c r="N182" s="80"/>
      <c r="O182" s="82" t="str">
        <f>IF($B182="","",'Oneri mensili'!$C$8)</f>
      </c>
      <c r="P182" s="82" t="str">
        <f>IF($B182="","",'Oneri mensili'!$C$8*(POWER(1+'Oneri mensili'!$C$8,$B182-1+1)))</f>
      </c>
      <c r="Q182" s="82" t="str">
        <f t="shared" si="13"/>
      </c>
      <c r="R182" s="80"/>
      <c r="S182" s="81" t="str">
        <f t="shared" si="11"/>
      </c>
      <c r="T182" s="81" t="str">
        <f>IF(S182="","",J182/(POWER(1+'Oneri mensili'!$C$8,$B182-1+1)))</f>
      </c>
      <c r="U182" s="83" t="str">
        <f t="shared" si="14"/>
      </c>
      <c r="V182" s="81" t="str">
        <f>IF($B182="","",K182/(POWER(1+'Oneri mensili'!$C$8,$B182-1+1)))</f>
      </c>
      <c r="W182" s="80"/>
    </row>
    <row r="183" spans="1:23" s="85" customFormat="1">
      <c r="A183" s="76"/>
      <c r="B183" s="77" t="str">
        <f>IF($B182="","",IF($B182+1&gt;'Oneri mensili'!$C$4,"",Schema!B182+1))</f>
      </c>
      <c r="C183" s="78" t="str">
        <f>IF($B182="","",IF($B182+1&gt;'Oneri mensili'!$C$4,"",EOMONTH(C182,0)+1))</f>
      </c>
      <c r="D183" s="76"/>
      <c r="E183" s="78" t="str">
        <f>IF($B182="","",IF($B182+1&gt;'Oneri mensili'!$C$4,"",F182+1))</f>
      </c>
      <c r="F183" s="78" t="str">
        <f>IF($B182="","",IF($B182+1&gt;'Oneri mensili'!$C$4,"",EOMONTH(E183,0)))</f>
      </c>
      <c r="G183" s="79" t="str">
        <f>IF($B182="","",IF($B182+1&gt;'Oneri mensili'!$C$4,"",(F183-E183)+1)/DAY(F183))</f>
      </c>
      <c r="H183" s="80"/>
      <c r="I183" s="81" t="str">
        <f>IF($B182="","",IF($B182+1&gt;'Oneri mensili'!$C$4,"",I182-J182))</f>
      </c>
      <c r="J183" s="81" t="str">
        <f>IF($B182="","",IF($B182+1&gt;'Oneri mensili'!$C$4,"",IF(B182&lt;'Oneri mensili'!$C$11-1,0,IF('Oneri mensili'!$C$10=dropdowns!$B$186,'Oneri mensili'!$J$3,IF('Oneri mensili'!$C$10=dropdowns!$B$185,IFERROR('Oneri mensili'!$J$3-K183,0),0)))))</f>
      </c>
      <c r="K183" s="81" t="str">
        <f>IF($B182="","",IF($B182+1&gt;'Oneri mensili'!$C$4,"",G183*I183*'Oneri mensili'!$C$8))</f>
      </c>
      <c r="L183" s="81" t="str">
        <f t="shared" si="12"/>
      </c>
      <c r="M183" s="81" t="str">
        <f t="shared" si="10"/>
      </c>
      <c r="N183" s="80"/>
      <c r="O183" s="82" t="str">
        <f>IF($B183="","",'Oneri mensili'!$C$8)</f>
      </c>
      <c r="P183" s="82" t="str">
        <f>IF($B183="","",'Oneri mensili'!$C$8*(POWER(1+'Oneri mensili'!$C$8,$B183-1+1)))</f>
      </c>
      <c r="Q183" s="82" t="str">
        <f t="shared" si="13"/>
      </c>
      <c r="R183" s="80"/>
      <c r="S183" s="81" t="str">
        <f t="shared" si="11"/>
      </c>
      <c r="T183" s="81" t="str">
        <f>IF(S183="","",J183/(POWER(1+'Oneri mensili'!$C$8,$B183-1+1)))</f>
      </c>
      <c r="U183" s="83" t="str">
        <f t="shared" si="14"/>
      </c>
      <c r="V183" s="81" t="str">
        <f>IF($B183="","",K183/(POWER(1+'Oneri mensili'!$C$8,$B183-1+1)))</f>
      </c>
      <c r="W183" s="80"/>
    </row>
    <row r="184" spans="1:23" s="85" customFormat="1">
      <c r="A184" s="76"/>
      <c r="B184" s="77" t="str">
        <f>IF($B183="","",IF($B183+1&gt;'Oneri mensili'!$C$4,"",Schema!B183+1))</f>
      </c>
      <c r="C184" s="78" t="str">
        <f>IF($B183="","",IF($B183+1&gt;'Oneri mensili'!$C$4,"",EOMONTH(C183,0)+1))</f>
      </c>
      <c r="D184" s="76"/>
      <c r="E184" s="78" t="str">
        <f>IF($B183="","",IF($B183+1&gt;'Oneri mensili'!$C$4,"",F183+1))</f>
      </c>
      <c r="F184" s="78" t="str">
        <f>IF($B183="","",IF($B183+1&gt;'Oneri mensili'!$C$4,"",EOMONTH(E184,0)))</f>
      </c>
      <c r="G184" s="79" t="str">
        <f>IF($B183="","",IF($B183+1&gt;'Oneri mensili'!$C$4,"",(F184-E184)+1)/DAY(F184))</f>
      </c>
      <c r="H184" s="80"/>
      <c r="I184" s="81" t="str">
        <f>IF($B183="","",IF($B183+1&gt;'Oneri mensili'!$C$4,"",I183-J183))</f>
      </c>
      <c r="J184" s="81" t="str">
        <f>IF($B183="","",IF($B183+1&gt;'Oneri mensili'!$C$4,"",IF(B183&lt;'Oneri mensili'!$C$11-1,0,IF('Oneri mensili'!$C$10=dropdowns!$B$186,'Oneri mensili'!$J$3,IF('Oneri mensili'!$C$10=dropdowns!$B$185,IFERROR('Oneri mensili'!$J$3-K184,0),0)))))</f>
      </c>
      <c r="K184" s="81" t="str">
        <f>IF($B183="","",IF($B183+1&gt;'Oneri mensili'!$C$4,"",G184*I184*'Oneri mensili'!$C$8))</f>
      </c>
      <c r="L184" s="81" t="str">
        <f t="shared" si="12"/>
      </c>
      <c r="M184" s="81" t="str">
        <f t="shared" si="10"/>
      </c>
      <c r="N184" s="80"/>
      <c r="O184" s="82" t="str">
        <f>IF($B184="","",'Oneri mensili'!$C$8)</f>
      </c>
      <c r="P184" s="82" t="str">
        <f>IF($B184="","",'Oneri mensili'!$C$8*(POWER(1+'Oneri mensili'!$C$8,$B184-1+1)))</f>
      </c>
      <c r="Q184" s="82" t="str">
        <f t="shared" si="13"/>
      </c>
      <c r="R184" s="80"/>
      <c r="S184" s="81" t="str">
        <f t="shared" si="11"/>
      </c>
      <c r="T184" s="81" t="str">
        <f>IF(S184="","",J184/(POWER(1+'Oneri mensili'!$C$8,$B184-1+1)))</f>
      </c>
      <c r="U184" s="83" t="str">
        <f t="shared" si="14"/>
      </c>
      <c r="V184" s="81" t="str">
        <f>IF($B184="","",K184/(POWER(1+'Oneri mensili'!$C$8,$B184-1+1)))</f>
      </c>
      <c r="W184" s="80"/>
    </row>
    <row r="185" spans="1:23" s="85" customFormat="1">
      <c r="A185" s="76"/>
      <c r="B185" s="77" t="str">
        <f>IF($B184="","",IF($B184+1&gt;'Oneri mensili'!$C$4,"",Schema!B184+1))</f>
      </c>
      <c r="C185" s="78" t="str">
        <f>IF($B184="","",IF($B184+1&gt;'Oneri mensili'!$C$4,"",EOMONTH(C184,0)+1))</f>
      </c>
      <c r="D185" s="76"/>
      <c r="E185" s="78" t="str">
        <f>IF($B184="","",IF($B184+1&gt;'Oneri mensili'!$C$4,"",F184+1))</f>
      </c>
      <c r="F185" s="78" t="str">
        <f>IF($B184="","",IF($B184+1&gt;'Oneri mensili'!$C$4,"",EOMONTH(E185,0)))</f>
      </c>
      <c r="G185" s="79" t="str">
        <f>IF($B184="","",IF($B184+1&gt;'Oneri mensili'!$C$4,"",(F185-E185)+1)/DAY(F185))</f>
      </c>
      <c r="H185" s="80"/>
      <c r="I185" s="81" t="str">
        <f>IF($B184="","",IF($B184+1&gt;'Oneri mensili'!$C$4,"",I184-J184))</f>
      </c>
      <c r="J185" s="81" t="str">
        <f>IF($B184="","",IF($B184+1&gt;'Oneri mensili'!$C$4,"",IF(B184&lt;'Oneri mensili'!$C$11-1,0,IF('Oneri mensili'!$C$10=dropdowns!$B$186,'Oneri mensili'!$J$3,IF('Oneri mensili'!$C$10=dropdowns!$B$185,IFERROR('Oneri mensili'!$J$3-K185,0),0)))))</f>
      </c>
      <c r="K185" s="81" t="str">
        <f>IF($B184="","",IF($B184+1&gt;'Oneri mensili'!$C$4,"",G185*I185*'Oneri mensili'!$C$8))</f>
      </c>
      <c r="L185" s="81" t="str">
        <f t="shared" si="12"/>
      </c>
      <c r="M185" s="81" t="str">
        <f t="shared" si="10"/>
      </c>
      <c r="N185" s="80"/>
      <c r="O185" s="82" t="str">
        <f>IF($B185="","",'Oneri mensili'!$C$8)</f>
      </c>
      <c r="P185" s="82" t="str">
        <f>IF($B185="","",'Oneri mensili'!$C$8*(POWER(1+'Oneri mensili'!$C$8,$B185-1+1)))</f>
      </c>
      <c r="Q185" s="82" t="str">
        <f t="shared" si="13"/>
      </c>
      <c r="R185" s="80"/>
      <c r="S185" s="81" t="str">
        <f t="shared" si="11"/>
      </c>
      <c r="T185" s="81" t="str">
        <f>IF(S185="","",J185/(POWER(1+'Oneri mensili'!$C$8,$B185-1+1)))</f>
      </c>
      <c r="U185" s="83" t="str">
        <f t="shared" si="14"/>
      </c>
      <c r="V185" s="81" t="str">
        <f>IF($B185="","",K185/(POWER(1+'Oneri mensili'!$C$8,$B185-1+1)))</f>
      </c>
      <c r="W185" s="80"/>
    </row>
    <row r="186" spans="1:23" s="85" customFormat="1">
      <c r="A186" s="76"/>
      <c r="B186" s="77" t="str">
        <f>IF($B185="","",IF($B185+1&gt;'Oneri mensili'!$C$4,"",Schema!B185+1))</f>
      </c>
      <c r="C186" s="78" t="str">
        <f>IF($B185="","",IF($B185+1&gt;'Oneri mensili'!$C$4,"",EOMONTH(C185,0)+1))</f>
      </c>
      <c r="D186" s="76"/>
      <c r="E186" s="78" t="str">
        <f>IF($B185="","",IF($B185+1&gt;'Oneri mensili'!$C$4,"",F185+1))</f>
      </c>
      <c r="F186" s="78" t="str">
        <f>IF($B185="","",IF($B185+1&gt;'Oneri mensili'!$C$4,"",EOMONTH(E186,0)))</f>
      </c>
      <c r="G186" s="79" t="str">
        <f>IF($B185="","",IF($B185+1&gt;'Oneri mensili'!$C$4,"",(F186-E186)+1)/DAY(F186))</f>
      </c>
      <c r="H186" s="80"/>
      <c r="I186" s="81" t="str">
        <f>IF($B185="","",IF($B185+1&gt;'Oneri mensili'!$C$4,"",I185-J185))</f>
      </c>
      <c r="J186" s="81" t="str">
        <f>IF($B185="","",IF($B185+1&gt;'Oneri mensili'!$C$4,"",IF(B185&lt;'Oneri mensili'!$C$11-1,0,IF('Oneri mensili'!$C$10=dropdowns!$B$186,'Oneri mensili'!$J$3,IF('Oneri mensili'!$C$10=dropdowns!$B$185,IFERROR('Oneri mensili'!$J$3-K186,0),0)))))</f>
      </c>
      <c r="K186" s="81" t="str">
        <f>IF($B185="","",IF($B185+1&gt;'Oneri mensili'!$C$4,"",G186*I186*'Oneri mensili'!$C$8))</f>
      </c>
      <c r="L186" s="81" t="str">
        <f t="shared" si="12"/>
      </c>
      <c r="M186" s="81" t="str">
        <f t="shared" si="10"/>
      </c>
      <c r="N186" s="80"/>
      <c r="O186" s="82" t="str">
        <f>IF($B186="","",'Oneri mensili'!$C$8)</f>
      </c>
      <c r="P186" s="82" t="str">
        <f>IF($B186="","",'Oneri mensili'!$C$8*(POWER(1+'Oneri mensili'!$C$8,$B186-1+1)))</f>
      </c>
      <c r="Q186" s="82" t="str">
        <f t="shared" si="13"/>
      </c>
      <c r="R186" s="80"/>
      <c r="S186" s="81" t="str">
        <f t="shared" si="11"/>
      </c>
      <c r="T186" s="81" t="str">
        <f>IF(S186="","",J186/(POWER(1+'Oneri mensili'!$C$8,$B186-1+1)))</f>
      </c>
      <c r="U186" s="83" t="str">
        <f t="shared" si="14"/>
      </c>
      <c r="V186" s="81" t="str">
        <f>IF($B186="","",K186/(POWER(1+'Oneri mensili'!$C$8,$B186-1+1)))</f>
      </c>
      <c r="W186" s="80"/>
    </row>
    <row r="187" spans="1:23" s="85" customFormat="1">
      <c r="A187" s="76"/>
      <c r="B187" s="77" t="str">
        <f>IF($B186="","",IF($B186+1&gt;'Oneri mensili'!$C$4,"",Schema!B186+1))</f>
      </c>
      <c r="C187" s="78" t="str">
        <f>IF($B186="","",IF($B186+1&gt;'Oneri mensili'!$C$4,"",EOMONTH(C186,0)+1))</f>
      </c>
      <c r="D187" s="76"/>
      <c r="E187" s="78" t="str">
        <f>IF($B186="","",IF($B186+1&gt;'Oneri mensili'!$C$4,"",F186+1))</f>
      </c>
      <c r="F187" s="78" t="str">
        <f>IF($B186="","",IF($B186+1&gt;'Oneri mensili'!$C$4,"",EOMONTH(E187,0)))</f>
      </c>
      <c r="G187" s="79" t="str">
        <f>IF($B186="","",IF($B186+1&gt;'Oneri mensili'!$C$4,"",(F187-E187)+1)/DAY(F187))</f>
      </c>
      <c r="H187" s="80"/>
      <c r="I187" s="81" t="str">
        <f>IF($B186="","",IF($B186+1&gt;'Oneri mensili'!$C$4,"",I186-J186))</f>
      </c>
      <c r="J187" s="81" t="str">
        <f>IF($B186="","",IF($B186+1&gt;'Oneri mensili'!$C$4,"",IF(B186&lt;'Oneri mensili'!$C$11-1,0,IF('Oneri mensili'!$C$10=dropdowns!$B$186,'Oneri mensili'!$J$3,IF('Oneri mensili'!$C$10=dropdowns!$B$185,IFERROR('Oneri mensili'!$J$3-K187,0),0)))))</f>
      </c>
      <c r="K187" s="81" t="str">
        <f>IF($B186="","",IF($B186+1&gt;'Oneri mensili'!$C$4,"",G187*I187*'Oneri mensili'!$C$8))</f>
      </c>
      <c r="L187" s="81" t="str">
        <f t="shared" si="12"/>
      </c>
      <c r="M187" s="81" t="str">
        <f t="shared" si="10"/>
      </c>
      <c r="N187" s="80"/>
      <c r="O187" s="82" t="str">
        <f>IF($B187="","",'Oneri mensili'!$C$8)</f>
      </c>
      <c r="P187" s="82" t="str">
        <f>IF($B187="","",'Oneri mensili'!$C$8*(POWER(1+'Oneri mensili'!$C$8,$B187-1+1)))</f>
      </c>
      <c r="Q187" s="82" t="str">
        <f t="shared" si="13"/>
      </c>
      <c r="R187" s="80"/>
      <c r="S187" s="81" t="str">
        <f t="shared" si="11"/>
      </c>
      <c r="T187" s="81" t="str">
        <f>IF(S187="","",J187/(POWER(1+'Oneri mensili'!$C$8,$B187-1+1)))</f>
      </c>
      <c r="U187" s="83" t="str">
        <f t="shared" si="14"/>
      </c>
      <c r="V187" s="81" t="str">
        <f>IF($B187="","",K187/(POWER(1+'Oneri mensili'!$C$8,$B187-1+1)))</f>
      </c>
      <c r="W187" s="80"/>
    </row>
    <row r="188" spans="1:23" s="85" customFormat="1">
      <c r="A188" s="76"/>
      <c r="B188" s="77" t="str">
        <f>IF($B187="","",IF($B187+1&gt;'Oneri mensili'!$C$4,"",Schema!B187+1))</f>
      </c>
      <c r="C188" s="78" t="str">
        <f>IF($B187="","",IF($B187+1&gt;'Oneri mensili'!$C$4,"",EOMONTH(C187,0)+1))</f>
      </c>
      <c r="D188" s="76"/>
      <c r="E188" s="78" t="str">
        <f>IF($B187="","",IF($B187+1&gt;'Oneri mensili'!$C$4,"",F187+1))</f>
      </c>
      <c r="F188" s="78" t="str">
        <f>IF($B187="","",IF($B187+1&gt;'Oneri mensili'!$C$4,"",EOMONTH(E188,0)))</f>
      </c>
      <c r="G188" s="79" t="str">
        <f>IF($B187="","",IF($B187+1&gt;'Oneri mensili'!$C$4,"",(F188-E188)+1)/DAY(F188))</f>
      </c>
      <c r="H188" s="80"/>
      <c r="I188" s="81" t="str">
        <f>IF($B187="","",IF($B187+1&gt;'Oneri mensili'!$C$4,"",I187-J187))</f>
      </c>
      <c r="J188" s="81" t="str">
        <f>IF($B187="","",IF($B187+1&gt;'Oneri mensili'!$C$4,"",IF(B187&lt;'Oneri mensili'!$C$11-1,0,IF('Oneri mensili'!$C$10=dropdowns!$B$186,'Oneri mensili'!$J$3,IF('Oneri mensili'!$C$10=dropdowns!$B$185,IFERROR('Oneri mensili'!$J$3-K188,0),0)))))</f>
      </c>
      <c r="K188" s="81" t="str">
        <f>IF($B187="","",IF($B187+1&gt;'Oneri mensili'!$C$4,"",G188*I188*'Oneri mensili'!$C$8))</f>
      </c>
      <c r="L188" s="81" t="str">
        <f t="shared" si="12"/>
      </c>
      <c r="M188" s="81" t="str">
        <f t="shared" si="10"/>
      </c>
      <c r="N188" s="80"/>
      <c r="O188" s="82" t="str">
        <f>IF($B188="","",'Oneri mensili'!$C$8)</f>
      </c>
      <c r="P188" s="82" t="str">
        <f>IF($B188="","",'Oneri mensili'!$C$8*(POWER(1+'Oneri mensili'!$C$8,$B188-1+1)))</f>
      </c>
      <c r="Q188" s="82" t="str">
        <f t="shared" si="13"/>
      </c>
      <c r="R188" s="80"/>
      <c r="S188" s="81" t="str">
        <f t="shared" si="11"/>
      </c>
      <c r="T188" s="81" t="str">
        <f>IF(S188="","",J188/(POWER(1+'Oneri mensili'!$C$8,$B188-1+1)))</f>
      </c>
      <c r="U188" s="83" t="str">
        <f t="shared" si="14"/>
      </c>
      <c r="V188" s="81" t="str">
        <f>IF($B188="","",K188/(POWER(1+'Oneri mensili'!$C$8,$B188-1+1)))</f>
      </c>
      <c r="W188" s="80"/>
    </row>
    <row r="189" spans="1:23" s="85" customFormat="1">
      <c r="A189" s="76"/>
      <c r="B189" s="77" t="str">
        <f>IF($B188="","",IF($B188+1&gt;'Oneri mensili'!$C$4,"",Schema!B188+1))</f>
      </c>
      <c r="C189" s="78" t="str">
        <f>IF($B188="","",IF($B188+1&gt;'Oneri mensili'!$C$4,"",EOMONTH(C188,0)+1))</f>
      </c>
      <c r="D189" s="76"/>
      <c r="E189" s="78" t="str">
        <f>IF($B188="","",IF($B188+1&gt;'Oneri mensili'!$C$4,"",F188+1))</f>
      </c>
      <c r="F189" s="78" t="str">
        <f>IF($B188="","",IF($B188+1&gt;'Oneri mensili'!$C$4,"",EOMONTH(E189,0)))</f>
      </c>
      <c r="G189" s="79" t="str">
        <f>IF($B188="","",IF($B188+1&gt;'Oneri mensili'!$C$4,"",(F189-E189)+1)/DAY(F189))</f>
      </c>
      <c r="H189" s="80"/>
      <c r="I189" s="81" t="str">
        <f>IF($B188="","",IF($B188+1&gt;'Oneri mensili'!$C$4,"",I188-J188))</f>
      </c>
      <c r="J189" s="81" t="str">
        <f>IF($B188="","",IF($B188+1&gt;'Oneri mensili'!$C$4,"",IF(B188&lt;'Oneri mensili'!$C$11-1,0,IF('Oneri mensili'!$C$10=dropdowns!$B$186,'Oneri mensili'!$J$3,IF('Oneri mensili'!$C$10=dropdowns!$B$185,IFERROR('Oneri mensili'!$J$3-K189,0),0)))))</f>
      </c>
      <c r="K189" s="81" t="str">
        <f>IF($B188="","",IF($B188+1&gt;'Oneri mensili'!$C$4,"",G189*I189*'Oneri mensili'!$C$8))</f>
      </c>
      <c r="L189" s="81" t="str">
        <f t="shared" si="12"/>
      </c>
      <c r="M189" s="81" t="str">
        <f t="shared" si="10"/>
      </c>
      <c r="N189" s="80"/>
      <c r="O189" s="82" t="str">
        <f>IF($B189="","",'Oneri mensili'!$C$8)</f>
      </c>
      <c r="P189" s="82" t="str">
        <f>IF($B189="","",'Oneri mensili'!$C$8*(POWER(1+'Oneri mensili'!$C$8,$B189-1+1)))</f>
      </c>
      <c r="Q189" s="82" t="str">
        <f t="shared" si="13"/>
      </c>
      <c r="R189" s="80"/>
      <c r="S189" s="81" t="str">
        <f t="shared" si="11"/>
      </c>
      <c r="T189" s="81" t="str">
        <f>IF(S189="","",J189/(POWER(1+'Oneri mensili'!$C$8,$B189-1+1)))</f>
      </c>
      <c r="U189" s="83" t="str">
        <f t="shared" si="14"/>
      </c>
      <c r="V189" s="81" t="str">
        <f>IF($B189="","",K189/(POWER(1+'Oneri mensili'!$C$8,$B189-1+1)))</f>
      </c>
      <c r="W189" s="80"/>
    </row>
    <row r="190" spans="1:23" s="85" customFormat="1">
      <c r="A190" s="76"/>
      <c r="B190" s="77" t="str">
        <f>IF($B189="","",IF($B189+1&gt;'Oneri mensili'!$C$4,"",Schema!B189+1))</f>
      </c>
      <c r="C190" s="78" t="str">
        <f>IF($B189="","",IF($B189+1&gt;'Oneri mensili'!$C$4,"",EOMONTH(C189,0)+1))</f>
      </c>
      <c r="D190" s="76"/>
      <c r="E190" s="78" t="str">
        <f>IF($B189="","",IF($B189+1&gt;'Oneri mensili'!$C$4,"",F189+1))</f>
      </c>
      <c r="F190" s="78" t="str">
        <f>IF($B189="","",IF($B189+1&gt;'Oneri mensili'!$C$4,"",EOMONTH(E190,0)))</f>
      </c>
      <c r="G190" s="79" t="str">
        <f>IF($B189="","",IF($B189+1&gt;'Oneri mensili'!$C$4,"",(F190-E190)+1)/DAY(F190))</f>
      </c>
      <c r="H190" s="80"/>
      <c r="I190" s="81" t="str">
        <f>IF($B189="","",IF($B189+1&gt;'Oneri mensili'!$C$4,"",I189-J189))</f>
      </c>
      <c r="J190" s="81" t="str">
        <f>IF($B189="","",IF($B189+1&gt;'Oneri mensili'!$C$4,"",IF(B189&lt;'Oneri mensili'!$C$11-1,0,IF('Oneri mensili'!$C$10=dropdowns!$B$186,'Oneri mensili'!$J$3,IF('Oneri mensili'!$C$10=dropdowns!$B$185,IFERROR('Oneri mensili'!$J$3-K190,0),0)))))</f>
      </c>
      <c r="K190" s="81" t="str">
        <f>IF($B189="","",IF($B189+1&gt;'Oneri mensili'!$C$4,"",G190*I190*'Oneri mensili'!$C$8))</f>
      </c>
      <c r="L190" s="81" t="str">
        <f t="shared" si="12"/>
      </c>
      <c r="M190" s="81" t="str">
        <f t="shared" si="10"/>
      </c>
      <c r="N190" s="80"/>
      <c r="O190" s="82" t="str">
        <f>IF($B190="","",'Oneri mensili'!$C$8)</f>
      </c>
      <c r="P190" s="82" t="str">
        <f>IF($B190="","",'Oneri mensili'!$C$8*(POWER(1+'Oneri mensili'!$C$8,$B190-1+1)))</f>
      </c>
      <c r="Q190" s="82" t="str">
        <f t="shared" si="13"/>
      </c>
      <c r="R190" s="80"/>
      <c r="S190" s="81" t="str">
        <f t="shared" si="11"/>
      </c>
      <c r="T190" s="81" t="str">
        <f>IF(S190="","",J190/(POWER(1+'Oneri mensili'!$C$8,$B190-1+1)))</f>
      </c>
      <c r="U190" s="83" t="str">
        <f t="shared" si="14"/>
      </c>
      <c r="V190" s="81" t="str">
        <f>IF($B190="","",K190/(POWER(1+'Oneri mensili'!$C$8,$B190-1+1)))</f>
      </c>
      <c r="W190" s="80"/>
    </row>
    <row r="191" spans="1:23" s="85" customFormat="1">
      <c r="A191" s="76"/>
      <c r="B191" s="77" t="str">
        <f>IF($B190="","",IF($B190+1&gt;'Oneri mensili'!$C$4,"",Schema!B190+1))</f>
      </c>
      <c r="C191" s="78" t="str">
        <f>IF($B190="","",IF($B190+1&gt;'Oneri mensili'!$C$4,"",EOMONTH(C190,0)+1))</f>
      </c>
      <c r="D191" s="76"/>
      <c r="E191" s="78" t="str">
        <f>IF($B190="","",IF($B190+1&gt;'Oneri mensili'!$C$4,"",F190+1))</f>
      </c>
      <c r="F191" s="78" t="str">
        <f>IF($B190="","",IF($B190+1&gt;'Oneri mensili'!$C$4,"",EOMONTH(E191,0)))</f>
      </c>
      <c r="G191" s="79" t="str">
        <f>IF($B190="","",IF($B190+1&gt;'Oneri mensili'!$C$4,"",(F191-E191)+1)/DAY(F191))</f>
      </c>
      <c r="H191" s="80"/>
      <c r="I191" s="81" t="str">
        <f>IF($B190="","",IF($B190+1&gt;'Oneri mensili'!$C$4,"",I190-J190))</f>
      </c>
      <c r="J191" s="81" t="str">
        <f>IF($B190="","",IF($B190+1&gt;'Oneri mensili'!$C$4,"",IF(B190&lt;'Oneri mensili'!$C$11-1,0,IF('Oneri mensili'!$C$10=dropdowns!$B$186,'Oneri mensili'!$J$3,IF('Oneri mensili'!$C$10=dropdowns!$B$185,IFERROR('Oneri mensili'!$J$3-K191,0),0)))))</f>
      </c>
      <c r="K191" s="81" t="str">
        <f>IF($B190="","",IF($B190+1&gt;'Oneri mensili'!$C$4,"",G191*I191*'Oneri mensili'!$C$8))</f>
      </c>
      <c r="L191" s="81" t="str">
        <f t="shared" si="12"/>
      </c>
      <c r="M191" s="81" t="str">
        <f t="shared" si="10"/>
      </c>
      <c r="N191" s="80"/>
      <c r="O191" s="82" t="str">
        <f>IF($B191="","",'Oneri mensili'!$C$8)</f>
      </c>
      <c r="P191" s="82" t="str">
        <f>IF($B191="","",'Oneri mensili'!$C$8*(POWER(1+'Oneri mensili'!$C$8,$B191-1+1)))</f>
      </c>
      <c r="Q191" s="82" t="str">
        <f t="shared" si="13"/>
      </c>
      <c r="R191" s="80"/>
      <c r="S191" s="81" t="str">
        <f t="shared" si="11"/>
      </c>
      <c r="T191" s="81" t="str">
        <f>IF(S191="","",J191/(POWER(1+'Oneri mensili'!$C$8,$B191-1+1)))</f>
      </c>
      <c r="U191" s="83" t="str">
        <f t="shared" si="14"/>
      </c>
      <c r="V191" s="81" t="str">
        <f>IF($B191="","",K191/(POWER(1+'Oneri mensili'!$C$8,$B191-1+1)))</f>
      </c>
      <c r="W191" s="80"/>
    </row>
    <row r="192" spans="1:23" s="85" customFormat="1">
      <c r="A192" s="76"/>
      <c r="B192" s="77" t="str">
        <f>IF($B191="","",IF($B191+1&gt;'Oneri mensili'!$C$4,"",Schema!B191+1))</f>
      </c>
      <c r="C192" s="78" t="str">
        <f>IF($B191="","",IF($B191+1&gt;'Oneri mensili'!$C$4,"",EOMONTH(C191,0)+1))</f>
      </c>
      <c r="D192" s="76"/>
      <c r="E192" s="78" t="str">
        <f>IF($B191="","",IF($B191+1&gt;'Oneri mensili'!$C$4,"",F191+1))</f>
      </c>
      <c r="F192" s="78" t="str">
        <f>IF($B191="","",IF($B191+1&gt;'Oneri mensili'!$C$4,"",EOMONTH(E192,0)))</f>
      </c>
      <c r="G192" s="79" t="str">
        <f>IF($B191="","",IF($B191+1&gt;'Oneri mensili'!$C$4,"",(F192-E192)+1)/DAY(F192))</f>
      </c>
      <c r="H192" s="80"/>
      <c r="I192" s="81" t="str">
        <f>IF($B191="","",IF($B191+1&gt;'Oneri mensili'!$C$4,"",I191-J191))</f>
      </c>
      <c r="J192" s="81" t="str">
        <f>IF($B191="","",IF($B191+1&gt;'Oneri mensili'!$C$4,"",IF(B191&lt;'Oneri mensili'!$C$11-1,0,IF('Oneri mensili'!$C$10=dropdowns!$B$186,'Oneri mensili'!$J$3,IF('Oneri mensili'!$C$10=dropdowns!$B$185,IFERROR('Oneri mensili'!$J$3-K192,0),0)))))</f>
      </c>
      <c r="K192" s="81" t="str">
        <f>IF($B191="","",IF($B191+1&gt;'Oneri mensili'!$C$4,"",G192*I192*'Oneri mensili'!$C$8))</f>
      </c>
      <c r="L192" s="81" t="str">
        <f t="shared" si="12"/>
      </c>
      <c r="M192" s="81" t="str">
        <f t="shared" si="10"/>
      </c>
      <c r="N192" s="80"/>
      <c r="O192" s="82" t="str">
        <f>IF($B192="","",'Oneri mensili'!$C$8)</f>
      </c>
      <c r="P192" s="82" t="str">
        <f>IF($B192="","",'Oneri mensili'!$C$8*(POWER(1+'Oneri mensili'!$C$8,$B192-1+1)))</f>
      </c>
      <c r="Q192" s="82" t="str">
        <f t="shared" si="13"/>
      </c>
      <c r="R192" s="80"/>
      <c r="S192" s="81" t="str">
        <f t="shared" si="11"/>
      </c>
      <c r="T192" s="81" t="str">
        <f>IF(S192="","",J192/(POWER(1+'Oneri mensili'!$C$8,$B192-1+1)))</f>
      </c>
      <c r="U192" s="83" t="str">
        <f t="shared" si="14"/>
      </c>
      <c r="V192" s="81" t="str">
        <f>IF($B192="","",K192/(POWER(1+'Oneri mensili'!$C$8,$B192-1+1)))</f>
      </c>
      <c r="W192" s="80"/>
    </row>
    <row r="193" spans="1:23" s="85" customFormat="1">
      <c r="A193" s="76"/>
      <c r="B193" s="77" t="str">
        <f>IF($B192="","",IF($B192+1&gt;'Oneri mensili'!$C$4,"",Schema!B192+1))</f>
      </c>
      <c r="C193" s="78" t="str">
        <f>IF($B192="","",IF($B192+1&gt;'Oneri mensili'!$C$4,"",EOMONTH(C192,0)+1))</f>
      </c>
      <c r="D193" s="76"/>
      <c r="E193" s="78" t="str">
        <f>IF($B192="","",IF($B192+1&gt;'Oneri mensili'!$C$4,"",F192+1))</f>
      </c>
      <c r="F193" s="78" t="str">
        <f>IF($B192="","",IF($B192+1&gt;'Oneri mensili'!$C$4,"",EOMONTH(E193,0)))</f>
      </c>
      <c r="G193" s="79" t="str">
        <f>IF($B192="","",IF($B192+1&gt;'Oneri mensili'!$C$4,"",(F193-E193)+1)/DAY(F193))</f>
      </c>
      <c r="H193" s="80"/>
      <c r="I193" s="81" t="str">
        <f>IF($B192="","",IF($B192+1&gt;'Oneri mensili'!$C$4,"",I192-J192))</f>
      </c>
      <c r="J193" s="81" t="str">
        <f>IF($B192="","",IF($B192+1&gt;'Oneri mensili'!$C$4,"",IF(B192&lt;'Oneri mensili'!$C$11-1,0,IF('Oneri mensili'!$C$10=dropdowns!$B$186,'Oneri mensili'!$J$3,IF('Oneri mensili'!$C$10=dropdowns!$B$185,IFERROR('Oneri mensili'!$J$3-K193,0),0)))))</f>
      </c>
      <c r="K193" s="81" t="str">
        <f>IF($B192="","",IF($B192+1&gt;'Oneri mensili'!$C$4,"",G193*I193*'Oneri mensili'!$C$8))</f>
      </c>
      <c r="L193" s="81" t="str">
        <f t="shared" si="12"/>
      </c>
      <c r="M193" s="81" t="str">
        <f t="shared" si="10"/>
      </c>
      <c r="N193" s="80"/>
      <c r="O193" s="82" t="str">
        <f>IF($B193="","",'Oneri mensili'!$C$8)</f>
      </c>
      <c r="P193" s="82" t="str">
        <f>IF($B193="","",'Oneri mensili'!$C$8*(POWER(1+'Oneri mensili'!$C$8,$B193-1+1)))</f>
      </c>
      <c r="Q193" s="82" t="str">
        <f t="shared" si="13"/>
      </c>
      <c r="R193" s="80"/>
      <c r="S193" s="81" t="str">
        <f t="shared" si="11"/>
      </c>
      <c r="T193" s="81" t="str">
        <f>IF(S193="","",J193/(POWER(1+'Oneri mensili'!$C$8,$B193-1+1)))</f>
      </c>
      <c r="U193" s="83" t="str">
        <f t="shared" si="14"/>
      </c>
      <c r="V193" s="81" t="str">
        <f>IF($B193="","",K193/(POWER(1+'Oneri mensili'!$C$8,$B193-1+1)))</f>
      </c>
      <c r="W193" s="80"/>
    </row>
    <row r="194" spans="1:23" s="85" customFormat="1">
      <c r="A194" s="76"/>
      <c r="B194" s="77" t="str">
        <f>IF($B193="","",IF($B193+1&gt;'Oneri mensili'!$C$4,"",Schema!B193+1))</f>
      </c>
      <c r="C194" s="78" t="str">
        <f>IF($B193="","",IF($B193+1&gt;'Oneri mensili'!$C$4,"",EOMONTH(C193,0)+1))</f>
      </c>
      <c r="D194" s="76"/>
      <c r="E194" s="78" t="str">
        <f>IF($B193="","",IF($B193+1&gt;'Oneri mensili'!$C$4,"",F193+1))</f>
      </c>
      <c r="F194" s="78" t="str">
        <f>IF($B193="","",IF($B193+1&gt;'Oneri mensili'!$C$4,"",EOMONTH(E194,0)))</f>
      </c>
      <c r="G194" s="79" t="str">
        <f>IF($B193="","",IF($B193+1&gt;'Oneri mensili'!$C$4,"",(F194-E194)+1)/DAY(F194))</f>
      </c>
      <c r="H194" s="80"/>
      <c r="I194" s="81" t="str">
        <f>IF($B193="","",IF($B193+1&gt;'Oneri mensili'!$C$4,"",I193-J193))</f>
      </c>
      <c r="J194" s="81" t="str">
        <f>IF($B193="","",IF($B193+1&gt;'Oneri mensili'!$C$4,"",IF(B193&lt;'Oneri mensili'!$C$11-1,0,IF('Oneri mensili'!$C$10=dropdowns!$B$186,'Oneri mensili'!$J$3,IF('Oneri mensili'!$C$10=dropdowns!$B$185,IFERROR('Oneri mensili'!$J$3-K194,0),0)))))</f>
      </c>
      <c r="K194" s="81" t="str">
        <f>IF($B193="","",IF($B193+1&gt;'Oneri mensili'!$C$4,"",G194*I194*'Oneri mensili'!$C$8))</f>
      </c>
      <c r="L194" s="81" t="str">
        <f t="shared" si="12"/>
      </c>
      <c r="M194" s="81" t="str">
        <f t="shared" si="10"/>
      </c>
      <c r="N194" s="80"/>
      <c r="O194" s="82" t="str">
        <f>IF($B194="","",'Oneri mensili'!$C$8)</f>
      </c>
      <c r="P194" s="82" t="str">
        <f>IF($B194="","",'Oneri mensili'!$C$8*(POWER(1+'Oneri mensili'!$C$8,$B194-1+1)))</f>
      </c>
      <c r="Q194" s="82" t="str">
        <f t="shared" si="13"/>
      </c>
      <c r="R194" s="80"/>
      <c r="S194" s="81" t="str">
        <f t="shared" si="11"/>
      </c>
      <c r="T194" s="81" t="str">
        <f>IF(S194="","",J194/(POWER(1+'Oneri mensili'!$C$8,$B194-1+1)))</f>
      </c>
      <c r="U194" s="83" t="str">
        <f t="shared" si="14"/>
      </c>
      <c r="V194" s="81" t="str">
        <f>IF($B194="","",K194/(POWER(1+'Oneri mensili'!$C$8,$B194-1+1)))</f>
      </c>
      <c r="W194" s="80"/>
    </row>
    <row r="195" spans="1:23" s="85" customFormat="1">
      <c r="A195" s="76"/>
      <c r="B195" s="77" t="str">
        <f>IF($B194="","",IF($B194+1&gt;'Oneri mensili'!$C$4,"",Schema!B194+1))</f>
      </c>
      <c r="C195" s="78" t="str">
        <f>IF($B194="","",IF($B194+1&gt;'Oneri mensili'!$C$4,"",EOMONTH(C194,0)+1))</f>
      </c>
      <c r="D195" s="76"/>
      <c r="E195" s="78" t="str">
        <f>IF($B194="","",IF($B194+1&gt;'Oneri mensili'!$C$4,"",F194+1))</f>
      </c>
      <c r="F195" s="78" t="str">
        <f>IF($B194="","",IF($B194+1&gt;'Oneri mensili'!$C$4,"",EOMONTH(E195,0)))</f>
      </c>
      <c r="G195" s="79" t="str">
        <f>IF($B194="","",IF($B194+1&gt;'Oneri mensili'!$C$4,"",(F195-E195)+1)/DAY(F195))</f>
      </c>
      <c r="H195" s="80"/>
      <c r="I195" s="81" t="str">
        <f>IF($B194="","",IF($B194+1&gt;'Oneri mensili'!$C$4,"",I194-J194))</f>
      </c>
      <c r="J195" s="81" t="str">
        <f>IF($B194="","",IF($B194+1&gt;'Oneri mensili'!$C$4,"",IF(B194&lt;'Oneri mensili'!$C$11-1,0,IF('Oneri mensili'!$C$10=dropdowns!$B$186,'Oneri mensili'!$J$3,IF('Oneri mensili'!$C$10=dropdowns!$B$185,IFERROR('Oneri mensili'!$J$3-K195,0),0)))))</f>
      </c>
      <c r="K195" s="81" t="str">
        <f>IF($B194="","",IF($B194+1&gt;'Oneri mensili'!$C$4,"",G195*I195*'Oneri mensili'!$C$8))</f>
      </c>
      <c r="L195" s="81" t="str">
        <f t="shared" si="12"/>
      </c>
      <c r="M195" s="81" t="str">
        <f t="shared" si="10"/>
      </c>
      <c r="N195" s="80"/>
      <c r="O195" s="82" t="str">
        <f>IF($B195="","",'Oneri mensili'!$C$8)</f>
      </c>
      <c r="P195" s="82" t="str">
        <f>IF($B195="","",'Oneri mensili'!$C$8*(POWER(1+'Oneri mensili'!$C$8,$B195-1+1)))</f>
      </c>
      <c r="Q195" s="82" t="str">
        <f t="shared" si="13"/>
      </c>
      <c r="R195" s="80"/>
      <c r="S195" s="81" t="str">
        <f t="shared" si="11"/>
      </c>
      <c r="T195" s="81" t="str">
        <f>IF(S195="","",J195/(POWER(1+'Oneri mensili'!$C$8,$B195-1+1)))</f>
      </c>
      <c r="U195" s="83" t="str">
        <f t="shared" si="14"/>
      </c>
      <c r="V195" s="81" t="str">
        <f>IF($B195="","",K195/(POWER(1+'Oneri mensili'!$C$8,$B195-1+1)))</f>
      </c>
      <c r="W195" s="80"/>
    </row>
    <row r="196" spans="1:23" s="85" customFormat="1">
      <c r="A196" s="76"/>
      <c r="B196" s="77" t="str">
        <f>IF($B195="","",IF($B195+1&gt;'Oneri mensili'!$C$4,"",Schema!B195+1))</f>
      </c>
      <c r="C196" s="78" t="str">
        <f>IF($B195="","",IF($B195+1&gt;'Oneri mensili'!$C$4,"",EOMONTH(C195,0)+1))</f>
      </c>
      <c r="D196" s="76"/>
      <c r="E196" s="78" t="str">
        <f>IF($B195="","",IF($B195+1&gt;'Oneri mensili'!$C$4,"",F195+1))</f>
      </c>
      <c r="F196" s="78" t="str">
        <f>IF($B195="","",IF($B195+1&gt;'Oneri mensili'!$C$4,"",EOMONTH(E196,0)))</f>
      </c>
      <c r="G196" s="79" t="str">
        <f>IF($B195="","",IF($B195+1&gt;'Oneri mensili'!$C$4,"",(F196-E196)+1)/DAY(F196))</f>
      </c>
      <c r="H196" s="80"/>
      <c r="I196" s="81" t="str">
        <f>IF($B195="","",IF($B195+1&gt;'Oneri mensili'!$C$4,"",I195-J195))</f>
      </c>
      <c r="J196" s="81" t="str">
        <f>IF($B195="","",IF($B195+1&gt;'Oneri mensili'!$C$4,"",IF(B195&lt;'Oneri mensili'!$C$11-1,0,IF('Oneri mensili'!$C$10=dropdowns!$B$186,'Oneri mensili'!$J$3,IF('Oneri mensili'!$C$10=dropdowns!$B$185,IFERROR('Oneri mensili'!$J$3-K196,0),0)))))</f>
      </c>
      <c r="K196" s="81" t="str">
        <f>IF($B195="","",IF($B195+1&gt;'Oneri mensili'!$C$4,"",G196*I196*'Oneri mensili'!$C$8))</f>
      </c>
      <c r="L196" s="81" t="str">
        <f t="shared" si="12"/>
      </c>
      <c r="M196" s="81" t="str">
        <f t="shared" si="10"/>
      </c>
      <c r="N196" s="80"/>
      <c r="O196" s="82" t="str">
        <f>IF($B196="","",'Oneri mensili'!$C$8)</f>
      </c>
      <c r="P196" s="82" t="str">
        <f>IF($B196="","",'Oneri mensili'!$C$8*(POWER(1+'Oneri mensili'!$C$8,$B196-1+1)))</f>
      </c>
      <c r="Q196" s="82" t="str">
        <f t="shared" si="13"/>
      </c>
      <c r="R196" s="80"/>
      <c r="S196" s="81" t="str">
        <f t="shared" si="11"/>
      </c>
      <c r="T196" s="81" t="str">
        <f>IF(S196="","",J196/(POWER(1+'Oneri mensili'!$C$8,$B196-1+1)))</f>
      </c>
      <c r="U196" s="83" t="str">
        <f t="shared" si="14"/>
      </c>
      <c r="V196" s="81" t="str">
        <f>IF($B196="","",K196/(POWER(1+'Oneri mensili'!$C$8,$B196-1+1)))</f>
      </c>
      <c r="W196" s="80"/>
    </row>
    <row r="197" spans="1:23" s="85" customFormat="1">
      <c r="A197" s="76"/>
      <c r="B197" s="77" t="str">
        <f>IF($B196="","",IF($B196+1&gt;'Oneri mensili'!$C$4,"",Schema!B196+1))</f>
      </c>
      <c r="C197" s="78" t="str">
        <f>IF($B196="","",IF($B196+1&gt;'Oneri mensili'!$C$4,"",EOMONTH(C196,0)+1))</f>
      </c>
      <c r="D197" s="76"/>
      <c r="E197" s="78" t="str">
        <f>IF($B196="","",IF($B196+1&gt;'Oneri mensili'!$C$4,"",F196+1))</f>
      </c>
      <c r="F197" s="78" t="str">
        <f>IF($B196="","",IF($B196+1&gt;'Oneri mensili'!$C$4,"",EOMONTH(E197,0)))</f>
      </c>
      <c r="G197" s="79" t="str">
        <f>IF($B196="","",IF($B196+1&gt;'Oneri mensili'!$C$4,"",(F197-E197)+1)/DAY(F197))</f>
      </c>
      <c r="H197" s="80"/>
      <c r="I197" s="81" t="str">
        <f>IF($B196="","",IF($B196+1&gt;'Oneri mensili'!$C$4,"",I196-J196))</f>
      </c>
      <c r="J197" s="81" t="str">
        <f>IF($B196="","",IF($B196+1&gt;'Oneri mensili'!$C$4,"",IF(B196&lt;'Oneri mensili'!$C$11-1,0,IF('Oneri mensili'!$C$10=dropdowns!$B$186,'Oneri mensili'!$J$3,IF('Oneri mensili'!$C$10=dropdowns!$B$185,IFERROR('Oneri mensili'!$J$3-K197,0),0)))))</f>
      </c>
      <c r="K197" s="81" t="str">
        <f>IF($B196="","",IF($B196+1&gt;'Oneri mensili'!$C$4,"",G197*I197*'Oneri mensili'!$C$8))</f>
      </c>
      <c r="L197" s="81" t="str">
        <f t="shared" si="12"/>
      </c>
      <c r="M197" s="81" t="str">
        <f t="shared" si="10"/>
      </c>
      <c r="N197" s="80"/>
      <c r="O197" s="82" t="str">
        <f>IF($B197="","",'Oneri mensili'!$C$8)</f>
      </c>
      <c r="P197" s="82" t="str">
        <f>IF($B197="","",'Oneri mensili'!$C$8*(POWER(1+'Oneri mensili'!$C$8,$B197-1+1)))</f>
      </c>
      <c r="Q197" s="82" t="str">
        <f t="shared" si="13"/>
      </c>
      <c r="R197" s="80"/>
      <c r="S197" s="81" t="str">
        <f t="shared" si="11"/>
      </c>
      <c r="T197" s="81" t="str">
        <f>IF(S197="","",J197/(POWER(1+'Oneri mensili'!$C$8,$B197-1+1)))</f>
      </c>
      <c r="U197" s="83" t="str">
        <f t="shared" si="14"/>
      </c>
      <c r="V197" s="81" t="str">
        <f>IF($B197="","",K197/(POWER(1+'Oneri mensili'!$C$8,$B197-1+1)))</f>
      </c>
      <c r="W197" s="80"/>
    </row>
    <row r="198" spans="1:23" s="85" customFormat="1">
      <c r="A198" s="76"/>
      <c r="B198" s="77" t="str">
        <f>IF($B197="","",IF($B197+1&gt;'Oneri mensili'!$C$4,"",Schema!B197+1))</f>
      </c>
      <c r="C198" s="78" t="str">
        <f>IF($B197="","",IF($B197+1&gt;'Oneri mensili'!$C$4,"",EOMONTH(C197,0)+1))</f>
      </c>
      <c r="D198" s="76"/>
      <c r="E198" s="78" t="str">
        <f>IF($B197="","",IF($B197+1&gt;'Oneri mensili'!$C$4,"",F197+1))</f>
      </c>
      <c r="F198" s="78" t="str">
        <f>IF($B197="","",IF($B197+1&gt;'Oneri mensili'!$C$4,"",EOMONTH(E198,0)))</f>
      </c>
      <c r="G198" s="79" t="str">
        <f>IF($B197="","",IF($B197+1&gt;'Oneri mensili'!$C$4,"",(F198-E198)+1)/DAY(F198))</f>
      </c>
      <c r="H198" s="80"/>
      <c r="I198" s="81" t="str">
        <f>IF($B197="","",IF($B197+1&gt;'Oneri mensili'!$C$4,"",I197-J197))</f>
      </c>
      <c r="J198" s="81" t="str">
        <f>IF($B197="","",IF($B197+1&gt;'Oneri mensili'!$C$4,"",IF(B197&lt;'Oneri mensili'!$C$11-1,0,IF('Oneri mensili'!$C$10=dropdowns!$B$186,'Oneri mensili'!$J$3,IF('Oneri mensili'!$C$10=dropdowns!$B$185,IFERROR('Oneri mensili'!$J$3-K198,0),0)))))</f>
      </c>
      <c r="K198" s="81" t="str">
        <f>IF($B197="","",IF($B197+1&gt;'Oneri mensili'!$C$4,"",G198*I198*'Oneri mensili'!$C$8))</f>
      </c>
      <c r="L198" s="81" t="str">
        <f t="shared" si="12"/>
      </c>
      <c r="M198" s="81" t="str">
        <f t="shared" si="10"/>
      </c>
      <c r="N198" s="80"/>
      <c r="O198" s="82" t="str">
        <f>IF($B198="","",'Oneri mensili'!$C$8)</f>
      </c>
      <c r="P198" s="82" t="str">
        <f>IF($B198="","",'Oneri mensili'!$C$8*(POWER(1+'Oneri mensili'!$C$8,$B198-1+1)))</f>
      </c>
      <c r="Q198" s="82" t="str">
        <f t="shared" si="13"/>
      </c>
      <c r="R198" s="80"/>
      <c r="S198" s="81" t="str">
        <f t="shared" si="11"/>
      </c>
      <c r="T198" s="81" t="str">
        <f>IF(S198="","",J198/(POWER(1+'Oneri mensili'!$C$8,$B198-1+1)))</f>
      </c>
      <c r="U198" s="83" t="str">
        <f t="shared" si="14"/>
      </c>
      <c r="V198" s="81" t="str">
        <f>IF($B198="","",K198/(POWER(1+'Oneri mensili'!$C$8,$B198-1+1)))</f>
      </c>
      <c r="W198" s="80"/>
    </row>
    <row r="199" spans="1:23" s="85" customFormat="1">
      <c r="A199" s="76"/>
      <c r="B199" s="77" t="str">
        <f>IF($B198="","",IF($B198+1&gt;'Oneri mensili'!$C$4,"",Schema!B198+1))</f>
      </c>
      <c r="C199" s="78" t="str">
        <f>IF($B198="","",IF($B198+1&gt;'Oneri mensili'!$C$4,"",EOMONTH(C198,0)+1))</f>
      </c>
      <c r="D199" s="76"/>
      <c r="E199" s="78" t="str">
        <f>IF($B198="","",IF($B198+1&gt;'Oneri mensili'!$C$4,"",F198+1))</f>
      </c>
      <c r="F199" s="78" t="str">
        <f>IF($B198="","",IF($B198+1&gt;'Oneri mensili'!$C$4,"",EOMONTH(E199,0)))</f>
      </c>
      <c r="G199" s="79" t="str">
        <f>IF($B198="","",IF($B198+1&gt;'Oneri mensili'!$C$4,"",(F199-E199)+1)/DAY(F199))</f>
      </c>
      <c r="H199" s="80"/>
      <c r="I199" s="81" t="str">
        <f>IF($B198="","",IF($B198+1&gt;'Oneri mensili'!$C$4,"",I198-J198))</f>
      </c>
      <c r="J199" s="81" t="str">
        <f>IF($B198="","",IF($B198+1&gt;'Oneri mensili'!$C$4,"",IF(B198&lt;'Oneri mensili'!$C$11-1,0,IF('Oneri mensili'!$C$10=dropdowns!$B$186,'Oneri mensili'!$J$3,IF('Oneri mensili'!$C$10=dropdowns!$B$185,IFERROR('Oneri mensili'!$J$3-K199,0),0)))))</f>
      </c>
      <c r="K199" s="81" t="str">
        <f>IF($B198="","",IF($B198+1&gt;'Oneri mensili'!$C$4,"",G199*I199*'Oneri mensili'!$C$8))</f>
      </c>
      <c r="L199" s="81" t="str">
        <f t="shared" si="12"/>
      </c>
      <c r="M199" s="81" t="str">
        <f t="shared" si="10"/>
      </c>
      <c r="N199" s="80"/>
      <c r="O199" s="82" t="str">
        <f>IF($B199="","",'Oneri mensili'!$C$8)</f>
      </c>
      <c r="P199" s="82" t="str">
        <f>IF($B199="","",'Oneri mensili'!$C$8*(POWER(1+'Oneri mensili'!$C$8,$B199-1+1)))</f>
      </c>
      <c r="Q199" s="82" t="str">
        <f t="shared" si="13"/>
      </c>
      <c r="R199" s="80"/>
      <c r="S199" s="81" t="str">
        <f t="shared" si="11"/>
      </c>
      <c r="T199" s="81" t="str">
        <f>IF(S199="","",J199/(POWER(1+'Oneri mensili'!$C$8,$B199-1+1)))</f>
      </c>
      <c r="U199" s="83" t="str">
        <f t="shared" si="14"/>
      </c>
      <c r="V199" s="81" t="str">
        <f>IF($B199="","",K199/(POWER(1+'Oneri mensili'!$C$8,$B199-1+1)))</f>
      </c>
      <c r="W199" s="80"/>
    </row>
    <row r="200" spans="1:23" s="85" customFormat="1">
      <c r="A200" s="76"/>
      <c r="B200" s="77" t="str">
        <f>IF($B199="","",IF($B199+1&gt;'Oneri mensili'!$C$4,"",Schema!B199+1))</f>
      </c>
      <c r="C200" s="78" t="str">
        <f>IF($B199="","",IF($B199+1&gt;'Oneri mensili'!$C$4,"",EOMONTH(C199,0)+1))</f>
      </c>
      <c r="D200" s="76"/>
      <c r="E200" s="78" t="str">
        <f>IF($B199="","",IF($B199+1&gt;'Oneri mensili'!$C$4,"",F199+1))</f>
      </c>
      <c r="F200" s="78" t="str">
        <f>IF($B199="","",IF($B199+1&gt;'Oneri mensili'!$C$4,"",EOMONTH(E200,0)))</f>
      </c>
      <c r="G200" s="79" t="str">
        <f>IF($B199="","",IF($B199+1&gt;'Oneri mensili'!$C$4,"",(F200-E200)+1)/DAY(F200))</f>
      </c>
      <c r="H200" s="80"/>
      <c r="I200" s="81" t="str">
        <f>IF($B199="","",IF($B199+1&gt;'Oneri mensili'!$C$4,"",I199-J199))</f>
      </c>
      <c r="J200" s="81" t="str">
        <f>IF($B199="","",IF($B199+1&gt;'Oneri mensili'!$C$4,"",IF(B199&lt;'Oneri mensili'!$C$11-1,0,IF('Oneri mensili'!$C$10=dropdowns!$B$186,'Oneri mensili'!$J$3,IF('Oneri mensili'!$C$10=dropdowns!$B$185,IFERROR('Oneri mensili'!$J$3-K200,0),0)))))</f>
      </c>
      <c r="K200" s="81" t="str">
        <f>IF($B199="","",IF($B199+1&gt;'Oneri mensili'!$C$4,"",G200*I200*'Oneri mensili'!$C$8))</f>
      </c>
      <c r="L200" s="81" t="str">
        <f t="shared" si="12"/>
      </c>
      <c r="M200" s="81" t="str">
        <f t="shared" si="10"/>
      </c>
      <c r="N200" s="80"/>
      <c r="O200" s="82" t="str">
        <f>IF($B200="","",'Oneri mensili'!$C$8)</f>
      </c>
      <c r="P200" s="82" t="str">
        <f>IF($B200="","",'Oneri mensili'!$C$8*(POWER(1+'Oneri mensili'!$C$8,$B200-1+1)))</f>
      </c>
      <c r="Q200" s="82" t="str">
        <f t="shared" si="13"/>
      </c>
      <c r="R200" s="80"/>
      <c r="S200" s="81" t="str">
        <f t="shared" si="11"/>
      </c>
      <c r="T200" s="81" t="str">
        <f>IF(S200="","",J200/(POWER(1+'Oneri mensili'!$C$8,$B200-1+1)))</f>
      </c>
      <c r="U200" s="83" t="str">
        <f t="shared" si="14"/>
      </c>
      <c r="V200" s="81" t="str">
        <f>IF($B200="","",K200/(POWER(1+'Oneri mensili'!$C$8,$B200-1+1)))</f>
      </c>
      <c r="W200" s="80"/>
    </row>
    <row r="201" spans="1:23" s="85" customFormat="1">
      <c r="A201" s="76"/>
      <c r="B201" s="77" t="str">
        <f>IF($B200="","",IF($B200+1&gt;'Oneri mensili'!$C$4,"",Schema!B200+1))</f>
      </c>
      <c r="C201" s="78" t="str">
        <f>IF($B200="","",IF($B200+1&gt;'Oneri mensili'!$C$4,"",EOMONTH(C200,0)+1))</f>
      </c>
      <c r="D201" s="76"/>
      <c r="E201" s="78" t="str">
        <f>IF($B200="","",IF($B200+1&gt;'Oneri mensili'!$C$4,"",F200+1))</f>
      </c>
      <c r="F201" s="78" t="str">
        <f>IF($B200="","",IF($B200+1&gt;'Oneri mensili'!$C$4,"",EOMONTH(E201,0)))</f>
      </c>
      <c r="G201" s="79" t="str">
        <f>IF($B200="","",IF($B200+1&gt;'Oneri mensili'!$C$4,"",(F201-E201)+1)/DAY(F201))</f>
      </c>
      <c r="H201" s="80"/>
      <c r="I201" s="81" t="str">
        <f>IF($B200="","",IF($B200+1&gt;'Oneri mensili'!$C$4,"",I200-J200))</f>
      </c>
      <c r="J201" s="81" t="str">
        <f>IF($B200="","",IF($B200+1&gt;'Oneri mensili'!$C$4,"",IF(B200&lt;'Oneri mensili'!$C$11-1,0,IF('Oneri mensili'!$C$10=dropdowns!$B$186,'Oneri mensili'!$J$3,IF('Oneri mensili'!$C$10=dropdowns!$B$185,IFERROR('Oneri mensili'!$J$3-K201,0),0)))))</f>
      </c>
      <c r="K201" s="81" t="str">
        <f>IF($B200="","",IF($B200+1&gt;'Oneri mensili'!$C$4,"",G201*I201*'Oneri mensili'!$C$8))</f>
      </c>
      <c r="L201" s="81" t="str">
        <f t="shared" si="12"/>
      </c>
      <c r="M201" s="81" t="str">
        <f t="shared" si="10"/>
      </c>
      <c r="N201" s="80"/>
      <c r="O201" s="82" t="str">
        <f>IF($B201="","",'Oneri mensili'!$C$8)</f>
      </c>
      <c r="P201" s="82" t="str">
        <f>IF($B201="","",'Oneri mensili'!$C$8*(POWER(1+'Oneri mensili'!$C$8,$B201-1+1)))</f>
      </c>
      <c r="Q201" s="82" t="str">
        <f t="shared" si="13"/>
      </c>
      <c r="R201" s="80"/>
      <c r="S201" s="81" t="str">
        <f t="shared" si="11"/>
      </c>
      <c r="T201" s="81" t="str">
        <f>IF(S201="","",J201/(POWER(1+'Oneri mensili'!$C$8,$B201-1+1)))</f>
      </c>
      <c r="U201" s="83" t="str">
        <f t="shared" si="14"/>
      </c>
      <c r="V201" s="81" t="str">
        <f>IF($B201="","",K201/(POWER(1+'Oneri mensili'!$C$8,$B201-1+1)))</f>
      </c>
      <c r="W201" s="80"/>
    </row>
    <row r="202" spans="1:23" s="85" customFormat="1">
      <c r="A202" s="76"/>
      <c r="B202" s="77" t="str">
        <f>IF($B201="","",IF($B201+1&gt;'Oneri mensili'!$C$4,"",Schema!B201+1))</f>
      </c>
      <c r="C202" s="78" t="str">
        <f>IF($B201="","",IF($B201+1&gt;'Oneri mensili'!$C$4,"",EOMONTH(C201,0)+1))</f>
      </c>
      <c r="D202" s="76"/>
      <c r="E202" s="78" t="str">
        <f>IF($B201="","",IF($B201+1&gt;'Oneri mensili'!$C$4,"",F201+1))</f>
      </c>
      <c r="F202" s="78" t="str">
        <f>IF($B201="","",IF($B201+1&gt;'Oneri mensili'!$C$4,"",EOMONTH(E202,0)))</f>
      </c>
      <c r="G202" s="79" t="str">
        <f>IF($B201="","",IF($B201+1&gt;'Oneri mensili'!$C$4,"",(F202-E202)+1)/DAY(F202))</f>
      </c>
      <c r="H202" s="80"/>
      <c r="I202" s="81" t="str">
        <f>IF($B201="","",IF($B201+1&gt;'Oneri mensili'!$C$4,"",I201-J201))</f>
      </c>
      <c r="J202" s="81" t="str">
        <f>IF($B201="","",IF($B201+1&gt;'Oneri mensili'!$C$4,"",IF(B201&lt;'Oneri mensili'!$C$11-1,0,IF('Oneri mensili'!$C$10=dropdowns!$B$186,'Oneri mensili'!$J$3,IF('Oneri mensili'!$C$10=dropdowns!$B$185,IFERROR('Oneri mensili'!$J$3-K202,0),0)))))</f>
      </c>
      <c r="K202" s="81" t="str">
        <f>IF($B201="","",IF($B201+1&gt;'Oneri mensili'!$C$4,"",G202*I202*'Oneri mensili'!$C$8))</f>
      </c>
      <c r="L202" s="81" t="str">
        <f t="shared" si="12"/>
      </c>
      <c r="M202" s="81" t="str">
        <f t="shared" ref="M202:M265" si="15">IF(S202="","",-K202-J202)</f>
      </c>
      <c r="N202" s="80"/>
      <c r="O202" s="82" t="str">
        <f>IF($B202="","",'Oneri mensili'!$C$8)</f>
      </c>
      <c r="P202" s="82" t="str">
        <f>IF($B202="","",'Oneri mensili'!$C$8*(POWER(1+'Oneri mensili'!$C$8,$B202-1+1)))</f>
      </c>
      <c r="Q202" s="82" t="str">
        <f t="shared" si="13"/>
      </c>
      <c r="R202" s="80"/>
      <c r="S202" s="81" t="str">
        <f t="shared" ref="S202:S265" si="16">IF(B202="","",IF(S201-T201&lt;0,"",S201-T201))</f>
      </c>
      <c r="T202" s="81" t="str">
        <f>IF(S202="","",J202/(POWER(1+'Oneri mensili'!$C$8,$B202-1+1)))</f>
      </c>
      <c r="U202" s="83" t="str">
        <f t="shared" si="14"/>
      </c>
      <c r="V202" s="81" t="str">
        <f>IF($B202="","",K202/(POWER(1+'Oneri mensili'!$C$8,$B202-1+1)))</f>
      </c>
      <c r="W202" s="80"/>
    </row>
    <row r="203" spans="1:23" s="85" customFormat="1">
      <c r="A203" s="76"/>
      <c r="B203" s="77" t="str">
        <f>IF($B202="","",IF($B202+1&gt;'Oneri mensili'!$C$4,"",Schema!B202+1))</f>
      </c>
      <c r="C203" s="78" t="str">
        <f>IF($B202="","",IF($B202+1&gt;'Oneri mensili'!$C$4,"",EOMONTH(C202,0)+1))</f>
      </c>
      <c r="D203" s="76"/>
      <c r="E203" s="78" t="str">
        <f>IF($B202="","",IF($B202+1&gt;'Oneri mensili'!$C$4,"",F202+1))</f>
      </c>
      <c r="F203" s="78" t="str">
        <f>IF($B202="","",IF($B202+1&gt;'Oneri mensili'!$C$4,"",EOMONTH(E203,0)))</f>
      </c>
      <c r="G203" s="79" t="str">
        <f>IF($B202="","",IF($B202+1&gt;'Oneri mensili'!$C$4,"",(F203-E203)+1)/DAY(F203))</f>
      </c>
      <c r="H203" s="80"/>
      <c r="I203" s="81" t="str">
        <f>IF($B202="","",IF($B202+1&gt;'Oneri mensili'!$C$4,"",I202-J202))</f>
      </c>
      <c r="J203" s="81" t="str">
        <f>IF($B202="","",IF($B202+1&gt;'Oneri mensili'!$C$4,"",IF(B202&lt;'Oneri mensili'!$C$11-1,0,IF('Oneri mensili'!$C$10=dropdowns!$B$186,'Oneri mensili'!$J$3,IF('Oneri mensili'!$C$10=dropdowns!$B$185,IFERROR('Oneri mensili'!$J$3-K203,0),0)))))</f>
      </c>
      <c r="K203" s="81" t="str">
        <f>IF($B202="","",IF($B202+1&gt;'Oneri mensili'!$C$4,"",G203*I203*'Oneri mensili'!$C$8))</f>
      </c>
      <c r="L203" s="81" t="str">
        <f t="shared" ref="L203:L266" si="17">IF(S203="","",-K203-J203)</f>
      </c>
      <c r="M203" s="81" t="str">
        <f t="shared" si="15"/>
      </c>
      <c r="N203" s="80"/>
      <c r="O203" s="82" t="str">
        <f>IF($B203="","",'Oneri mensili'!$C$8)</f>
      </c>
      <c r="P203" s="82" t="str">
        <f>IF($B203="","",'Oneri mensili'!$C$8*(POWER(1+'Oneri mensili'!$C$8,$B203-1+1)))</f>
      </c>
      <c r="Q203" s="82" t="str">
        <f t="shared" ref="Q203:Q266" si="18">IF($B203="","",IFERROR(J203/T203-1,0))</f>
      </c>
      <c r="R203" s="80"/>
      <c r="S203" s="81" t="str">
        <f t="shared" si="16"/>
      </c>
      <c r="T203" s="81" t="str">
        <f>IF(S203="","",J203/(POWER(1+'Oneri mensili'!$C$8,$B203-1+1)))</f>
      </c>
      <c r="U203" s="83" t="str">
        <f t="shared" ref="U203:U266" si="19">IF(S203="","",T203+V203)</f>
      </c>
      <c r="V203" s="81" t="str">
        <f>IF($B203="","",K203/(POWER(1+'Oneri mensili'!$C$8,$B203-1+1)))</f>
      </c>
      <c r="W203" s="80"/>
    </row>
    <row r="204" spans="1:23" s="85" customFormat="1">
      <c r="A204" s="76"/>
      <c r="B204" s="77" t="str">
        <f>IF($B203="","",IF($B203+1&gt;'Oneri mensili'!$C$4,"",Schema!B203+1))</f>
      </c>
      <c r="C204" s="78" t="str">
        <f>IF($B203="","",IF($B203+1&gt;'Oneri mensili'!$C$4,"",EOMONTH(C203,0)+1))</f>
      </c>
      <c r="D204" s="76"/>
      <c r="E204" s="78" t="str">
        <f>IF($B203="","",IF($B203+1&gt;'Oneri mensili'!$C$4,"",F203+1))</f>
      </c>
      <c r="F204" s="78" t="str">
        <f>IF($B203="","",IF($B203+1&gt;'Oneri mensili'!$C$4,"",EOMONTH(E204,0)))</f>
      </c>
      <c r="G204" s="79" t="str">
        <f>IF($B203="","",IF($B203+1&gt;'Oneri mensili'!$C$4,"",(F204-E204)+1)/DAY(F204))</f>
      </c>
      <c r="H204" s="80"/>
      <c r="I204" s="81" t="str">
        <f>IF($B203="","",IF($B203+1&gt;'Oneri mensili'!$C$4,"",I203-J203))</f>
      </c>
      <c r="J204" s="81" t="str">
        <f>IF($B203="","",IF($B203+1&gt;'Oneri mensili'!$C$4,"",IF(B203&lt;'Oneri mensili'!$C$11-1,0,IF('Oneri mensili'!$C$10=dropdowns!$B$186,'Oneri mensili'!$J$3,IF('Oneri mensili'!$C$10=dropdowns!$B$185,IFERROR('Oneri mensili'!$J$3-K204,0),0)))))</f>
      </c>
      <c r="K204" s="81" t="str">
        <f>IF($B203="","",IF($B203+1&gt;'Oneri mensili'!$C$4,"",G204*I204*'Oneri mensili'!$C$8))</f>
      </c>
      <c r="L204" s="81" t="str">
        <f t="shared" si="17"/>
      </c>
      <c r="M204" s="81" t="str">
        <f t="shared" si="15"/>
      </c>
      <c r="N204" s="80"/>
      <c r="O204" s="82" t="str">
        <f>IF($B204="","",'Oneri mensili'!$C$8)</f>
      </c>
      <c r="P204" s="82" t="str">
        <f>IF($B204="","",'Oneri mensili'!$C$8*(POWER(1+'Oneri mensili'!$C$8,$B204-1+1)))</f>
      </c>
      <c r="Q204" s="82" t="str">
        <f t="shared" si="18"/>
      </c>
      <c r="R204" s="80"/>
      <c r="S204" s="81" t="str">
        <f t="shared" si="16"/>
      </c>
      <c r="T204" s="81" t="str">
        <f>IF(S204="","",J204/(POWER(1+'Oneri mensili'!$C$8,$B204-1+1)))</f>
      </c>
      <c r="U204" s="83" t="str">
        <f t="shared" si="19"/>
      </c>
      <c r="V204" s="81" t="str">
        <f>IF($B204="","",K204/(POWER(1+'Oneri mensili'!$C$8,$B204-1+1)))</f>
      </c>
      <c r="W204" s="80"/>
    </row>
    <row r="205" spans="1:23" s="85" customFormat="1">
      <c r="A205" s="76"/>
      <c r="B205" s="77" t="str">
        <f>IF($B204="","",IF($B204+1&gt;'Oneri mensili'!$C$4,"",Schema!B204+1))</f>
      </c>
      <c r="C205" s="78" t="str">
        <f>IF($B204="","",IF($B204+1&gt;'Oneri mensili'!$C$4,"",EOMONTH(C204,0)+1))</f>
      </c>
      <c r="D205" s="76"/>
      <c r="E205" s="78" t="str">
        <f>IF($B204="","",IF($B204+1&gt;'Oneri mensili'!$C$4,"",F204+1))</f>
      </c>
      <c r="F205" s="78" t="str">
        <f>IF($B204="","",IF($B204+1&gt;'Oneri mensili'!$C$4,"",EOMONTH(E205,0)))</f>
      </c>
      <c r="G205" s="79" t="str">
        <f>IF($B204="","",IF($B204+1&gt;'Oneri mensili'!$C$4,"",(F205-E205)+1)/DAY(F205))</f>
      </c>
      <c r="H205" s="80"/>
      <c r="I205" s="81" t="str">
        <f>IF($B204="","",IF($B204+1&gt;'Oneri mensili'!$C$4,"",I204-J204))</f>
      </c>
      <c r="J205" s="81" t="str">
        <f>IF($B204="","",IF($B204+1&gt;'Oneri mensili'!$C$4,"",IF(B204&lt;'Oneri mensili'!$C$11-1,0,IF('Oneri mensili'!$C$10=dropdowns!$B$186,'Oneri mensili'!$J$3,IF('Oneri mensili'!$C$10=dropdowns!$B$185,IFERROR('Oneri mensili'!$J$3-K205,0),0)))))</f>
      </c>
      <c r="K205" s="81" t="str">
        <f>IF($B204="","",IF($B204+1&gt;'Oneri mensili'!$C$4,"",G205*I205*'Oneri mensili'!$C$8))</f>
      </c>
      <c r="L205" s="81" t="str">
        <f t="shared" si="17"/>
      </c>
      <c r="M205" s="81" t="str">
        <f t="shared" si="15"/>
      </c>
      <c r="N205" s="80"/>
      <c r="O205" s="82" t="str">
        <f>IF($B205="","",'Oneri mensili'!$C$8)</f>
      </c>
      <c r="P205" s="82" t="str">
        <f>IF($B205="","",'Oneri mensili'!$C$8*(POWER(1+'Oneri mensili'!$C$8,$B205-1+1)))</f>
      </c>
      <c r="Q205" s="82" t="str">
        <f t="shared" si="18"/>
      </c>
      <c r="R205" s="80"/>
      <c r="S205" s="81" t="str">
        <f t="shared" si="16"/>
      </c>
      <c r="T205" s="81" t="str">
        <f>IF(S205="","",J205/(POWER(1+'Oneri mensili'!$C$8,$B205-1+1)))</f>
      </c>
      <c r="U205" s="83" t="str">
        <f t="shared" si="19"/>
      </c>
      <c r="V205" s="81" t="str">
        <f>IF($B205="","",K205/(POWER(1+'Oneri mensili'!$C$8,$B205-1+1)))</f>
      </c>
      <c r="W205" s="80"/>
    </row>
    <row r="206" spans="1:23" s="85" customFormat="1">
      <c r="A206" s="76"/>
      <c r="B206" s="77" t="str">
        <f>IF($B205="","",IF($B205+1&gt;'Oneri mensili'!$C$4,"",Schema!B205+1))</f>
      </c>
      <c r="C206" s="78" t="str">
        <f>IF($B205="","",IF($B205+1&gt;'Oneri mensili'!$C$4,"",EOMONTH(C205,0)+1))</f>
      </c>
      <c r="D206" s="76"/>
      <c r="E206" s="78" t="str">
        <f>IF($B205="","",IF($B205+1&gt;'Oneri mensili'!$C$4,"",F205+1))</f>
      </c>
      <c r="F206" s="78" t="str">
        <f>IF($B205="","",IF($B205+1&gt;'Oneri mensili'!$C$4,"",EOMONTH(E206,0)))</f>
      </c>
      <c r="G206" s="79" t="str">
        <f>IF($B205="","",IF($B205+1&gt;'Oneri mensili'!$C$4,"",(F206-E206)+1)/DAY(F206))</f>
      </c>
      <c r="H206" s="80"/>
      <c r="I206" s="81" t="str">
        <f>IF($B205="","",IF($B205+1&gt;'Oneri mensili'!$C$4,"",I205-J205))</f>
      </c>
      <c r="J206" s="81" t="str">
        <f>IF($B205="","",IF($B205+1&gt;'Oneri mensili'!$C$4,"",IF(B205&lt;'Oneri mensili'!$C$11-1,0,IF('Oneri mensili'!$C$10=dropdowns!$B$186,'Oneri mensili'!$J$3,IF('Oneri mensili'!$C$10=dropdowns!$B$185,IFERROR('Oneri mensili'!$J$3-K206,0),0)))))</f>
      </c>
      <c r="K206" s="81" t="str">
        <f>IF($B205="","",IF($B205+1&gt;'Oneri mensili'!$C$4,"",G206*I206*'Oneri mensili'!$C$8))</f>
      </c>
      <c r="L206" s="81" t="str">
        <f t="shared" si="17"/>
      </c>
      <c r="M206" s="81" t="str">
        <f t="shared" si="15"/>
      </c>
      <c r="N206" s="80"/>
      <c r="O206" s="82" t="str">
        <f>IF($B206="","",'Oneri mensili'!$C$8)</f>
      </c>
      <c r="P206" s="82" t="str">
        <f>IF($B206="","",'Oneri mensili'!$C$8*(POWER(1+'Oneri mensili'!$C$8,$B206-1+1)))</f>
      </c>
      <c r="Q206" s="82" t="str">
        <f t="shared" si="18"/>
      </c>
      <c r="R206" s="80"/>
      <c r="S206" s="81" t="str">
        <f t="shared" si="16"/>
      </c>
      <c r="T206" s="81" t="str">
        <f>IF(S206="","",J206/(POWER(1+'Oneri mensili'!$C$8,$B206-1+1)))</f>
      </c>
      <c r="U206" s="83" t="str">
        <f t="shared" si="19"/>
      </c>
      <c r="V206" s="81" t="str">
        <f>IF($B206="","",K206/(POWER(1+'Oneri mensili'!$C$8,$B206-1+1)))</f>
      </c>
      <c r="W206" s="80"/>
    </row>
    <row r="207" spans="1:23" s="85" customFormat="1">
      <c r="A207" s="76"/>
      <c r="B207" s="77" t="str">
        <f>IF($B206="","",IF($B206+1&gt;'Oneri mensili'!$C$4,"",Schema!B206+1))</f>
      </c>
      <c r="C207" s="78" t="str">
        <f>IF($B206="","",IF($B206+1&gt;'Oneri mensili'!$C$4,"",EOMONTH(C206,0)+1))</f>
      </c>
      <c r="D207" s="76"/>
      <c r="E207" s="78" t="str">
        <f>IF($B206="","",IF($B206+1&gt;'Oneri mensili'!$C$4,"",F206+1))</f>
      </c>
      <c r="F207" s="78" t="str">
        <f>IF($B206="","",IF($B206+1&gt;'Oneri mensili'!$C$4,"",EOMONTH(E207,0)))</f>
      </c>
      <c r="G207" s="79" t="str">
        <f>IF($B206="","",IF($B206+1&gt;'Oneri mensili'!$C$4,"",(F207-E207)+1)/DAY(F207))</f>
      </c>
      <c r="H207" s="80"/>
      <c r="I207" s="81" t="str">
        <f>IF($B206="","",IF($B206+1&gt;'Oneri mensili'!$C$4,"",I206-J206))</f>
      </c>
      <c r="J207" s="81" t="str">
        <f>IF($B206="","",IF($B206+1&gt;'Oneri mensili'!$C$4,"",IF(B206&lt;'Oneri mensili'!$C$11-1,0,IF('Oneri mensili'!$C$10=dropdowns!$B$186,'Oneri mensili'!$J$3,IF('Oneri mensili'!$C$10=dropdowns!$B$185,IFERROR('Oneri mensili'!$J$3-K207,0),0)))))</f>
      </c>
      <c r="K207" s="81" t="str">
        <f>IF($B206="","",IF($B206+1&gt;'Oneri mensili'!$C$4,"",G207*I207*'Oneri mensili'!$C$8))</f>
      </c>
      <c r="L207" s="81" t="str">
        <f t="shared" si="17"/>
      </c>
      <c r="M207" s="81" t="str">
        <f t="shared" si="15"/>
      </c>
      <c r="N207" s="80"/>
      <c r="O207" s="82" t="str">
        <f>IF($B207="","",'Oneri mensili'!$C$8)</f>
      </c>
      <c r="P207" s="82" t="str">
        <f>IF($B207="","",'Oneri mensili'!$C$8*(POWER(1+'Oneri mensili'!$C$8,$B207-1+1)))</f>
      </c>
      <c r="Q207" s="82" t="str">
        <f t="shared" si="18"/>
      </c>
      <c r="R207" s="80"/>
      <c r="S207" s="81" t="str">
        <f t="shared" si="16"/>
      </c>
      <c r="T207" s="81" t="str">
        <f>IF(S207="","",J207/(POWER(1+'Oneri mensili'!$C$8,$B207-1+1)))</f>
      </c>
      <c r="U207" s="83" t="str">
        <f t="shared" si="19"/>
      </c>
      <c r="V207" s="81" t="str">
        <f>IF($B207="","",K207/(POWER(1+'Oneri mensili'!$C$8,$B207-1+1)))</f>
      </c>
      <c r="W207" s="80"/>
    </row>
    <row r="208" spans="1:23" s="85" customFormat="1">
      <c r="A208" s="76"/>
      <c r="B208" s="77" t="str">
        <f>IF($B207="","",IF($B207+1&gt;'Oneri mensili'!$C$4,"",Schema!B207+1))</f>
      </c>
      <c r="C208" s="78" t="str">
        <f>IF($B207="","",IF($B207+1&gt;'Oneri mensili'!$C$4,"",EOMONTH(C207,0)+1))</f>
      </c>
      <c r="D208" s="76"/>
      <c r="E208" s="78" t="str">
        <f>IF($B207="","",IF($B207+1&gt;'Oneri mensili'!$C$4,"",F207+1))</f>
      </c>
      <c r="F208" s="78" t="str">
        <f>IF($B207="","",IF($B207+1&gt;'Oneri mensili'!$C$4,"",EOMONTH(E208,0)))</f>
      </c>
      <c r="G208" s="79" t="str">
        <f>IF($B207="","",IF($B207+1&gt;'Oneri mensili'!$C$4,"",(F208-E208)+1)/DAY(F208))</f>
      </c>
      <c r="H208" s="80"/>
      <c r="I208" s="81" t="str">
        <f>IF($B207="","",IF($B207+1&gt;'Oneri mensili'!$C$4,"",I207-J207))</f>
      </c>
      <c r="J208" s="81" t="str">
        <f>IF($B207="","",IF($B207+1&gt;'Oneri mensili'!$C$4,"",IF(B207&lt;'Oneri mensili'!$C$11-1,0,IF('Oneri mensili'!$C$10=dropdowns!$B$186,'Oneri mensili'!$J$3,IF('Oneri mensili'!$C$10=dropdowns!$B$185,IFERROR('Oneri mensili'!$J$3-K208,0),0)))))</f>
      </c>
      <c r="K208" s="81" t="str">
        <f>IF($B207="","",IF($B207+1&gt;'Oneri mensili'!$C$4,"",G208*I208*'Oneri mensili'!$C$8))</f>
      </c>
      <c r="L208" s="81" t="str">
        <f t="shared" si="17"/>
      </c>
      <c r="M208" s="81" t="str">
        <f t="shared" si="15"/>
      </c>
      <c r="N208" s="80"/>
      <c r="O208" s="82" t="str">
        <f>IF($B208="","",'Oneri mensili'!$C$8)</f>
      </c>
      <c r="P208" s="82" t="str">
        <f>IF($B208="","",'Oneri mensili'!$C$8*(POWER(1+'Oneri mensili'!$C$8,$B208-1+1)))</f>
      </c>
      <c r="Q208" s="82" t="str">
        <f t="shared" si="18"/>
      </c>
      <c r="R208" s="80"/>
      <c r="S208" s="81" t="str">
        <f t="shared" si="16"/>
      </c>
      <c r="T208" s="81" t="str">
        <f>IF(S208="","",J208/(POWER(1+'Oneri mensili'!$C$8,$B208-1+1)))</f>
      </c>
      <c r="U208" s="83" t="str">
        <f t="shared" si="19"/>
      </c>
      <c r="V208" s="81" t="str">
        <f>IF($B208="","",K208/(POWER(1+'Oneri mensili'!$C$8,$B208-1+1)))</f>
      </c>
      <c r="W208" s="80"/>
    </row>
    <row r="209" spans="1:23" s="85" customFormat="1">
      <c r="A209" s="76"/>
      <c r="B209" s="77" t="str">
        <f>IF($B208="","",IF($B208+1&gt;'Oneri mensili'!$C$4,"",Schema!B208+1))</f>
      </c>
      <c r="C209" s="78" t="str">
        <f>IF($B208="","",IF($B208+1&gt;'Oneri mensili'!$C$4,"",EOMONTH(C208,0)+1))</f>
      </c>
      <c r="D209" s="76"/>
      <c r="E209" s="78" t="str">
        <f>IF($B208="","",IF($B208+1&gt;'Oneri mensili'!$C$4,"",F208+1))</f>
      </c>
      <c r="F209" s="78" t="str">
        <f>IF($B208="","",IF($B208+1&gt;'Oneri mensili'!$C$4,"",EOMONTH(E209,0)))</f>
      </c>
      <c r="G209" s="79" t="str">
        <f>IF($B208="","",IF($B208+1&gt;'Oneri mensili'!$C$4,"",(F209-E209)+1)/DAY(F209))</f>
      </c>
      <c r="H209" s="80"/>
      <c r="I209" s="81" t="str">
        <f>IF($B208="","",IF($B208+1&gt;'Oneri mensili'!$C$4,"",I208-J208))</f>
      </c>
      <c r="J209" s="81" t="str">
        <f>IF($B208="","",IF($B208+1&gt;'Oneri mensili'!$C$4,"",IF(B208&lt;'Oneri mensili'!$C$11-1,0,IF('Oneri mensili'!$C$10=dropdowns!$B$186,'Oneri mensili'!$J$3,IF('Oneri mensili'!$C$10=dropdowns!$B$185,IFERROR('Oneri mensili'!$J$3-K209,0),0)))))</f>
      </c>
      <c r="K209" s="81" t="str">
        <f>IF($B208="","",IF($B208+1&gt;'Oneri mensili'!$C$4,"",G209*I209*'Oneri mensili'!$C$8))</f>
      </c>
      <c r="L209" s="81" t="str">
        <f t="shared" si="17"/>
      </c>
      <c r="M209" s="81" t="str">
        <f t="shared" si="15"/>
      </c>
      <c r="N209" s="80"/>
      <c r="O209" s="82" t="str">
        <f>IF($B209="","",'Oneri mensili'!$C$8)</f>
      </c>
      <c r="P209" s="82" t="str">
        <f>IF($B209="","",'Oneri mensili'!$C$8*(POWER(1+'Oneri mensili'!$C$8,$B209-1+1)))</f>
      </c>
      <c r="Q209" s="82" t="str">
        <f t="shared" si="18"/>
      </c>
      <c r="R209" s="80"/>
      <c r="S209" s="81" t="str">
        <f t="shared" si="16"/>
      </c>
      <c r="T209" s="81" t="str">
        <f>IF(S209="","",J209/(POWER(1+'Oneri mensili'!$C$8,$B209-1+1)))</f>
      </c>
      <c r="U209" s="83" t="str">
        <f t="shared" si="19"/>
      </c>
      <c r="V209" s="81" t="str">
        <f>IF($B209="","",K209/(POWER(1+'Oneri mensili'!$C$8,$B209-1+1)))</f>
      </c>
      <c r="W209" s="80"/>
    </row>
    <row r="210" spans="1:23" s="85" customFormat="1">
      <c r="A210" s="76"/>
      <c r="B210" s="77" t="str">
        <f>IF($B209="","",IF($B209+1&gt;'Oneri mensili'!$C$4,"",Schema!B209+1))</f>
      </c>
      <c r="C210" s="78" t="str">
        <f>IF($B209="","",IF($B209+1&gt;'Oneri mensili'!$C$4,"",EOMONTH(C209,0)+1))</f>
      </c>
      <c r="D210" s="76"/>
      <c r="E210" s="78" t="str">
        <f>IF($B209="","",IF($B209+1&gt;'Oneri mensili'!$C$4,"",F209+1))</f>
      </c>
      <c r="F210" s="78" t="str">
        <f>IF($B209="","",IF($B209+1&gt;'Oneri mensili'!$C$4,"",EOMONTH(E210,0)))</f>
      </c>
      <c r="G210" s="79" t="str">
        <f>IF($B209="","",IF($B209+1&gt;'Oneri mensili'!$C$4,"",(F210-E210)+1)/DAY(F210))</f>
      </c>
      <c r="H210" s="80"/>
      <c r="I210" s="81" t="str">
        <f>IF($B209="","",IF($B209+1&gt;'Oneri mensili'!$C$4,"",I209-J209))</f>
      </c>
      <c r="J210" s="81" t="str">
        <f>IF($B209="","",IF($B209+1&gt;'Oneri mensili'!$C$4,"",IF(B209&lt;'Oneri mensili'!$C$11-1,0,IF('Oneri mensili'!$C$10=dropdowns!$B$186,'Oneri mensili'!$J$3,IF('Oneri mensili'!$C$10=dropdowns!$B$185,IFERROR('Oneri mensili'!$J$3-K210,0),0)))))</f>
      </c>
      <c r="K210" s="81" t="str">
        <f>IF($B209="","",IF($B209+1&gt;'Oneri mensili'!$C$4,"",G210*I210*'Oneri mensili'!$C$8))</f>
      </c>
      <c r="L210" s="81" t="str">
        <f t="shared" si="17"/>
      </c>
      <c r="M210" s="81" t="str">
        <f t="shared" si="15"/>
      </c>
      <c r="N210" s="80"/>
      <c r="O210" s="82" t="str">
        <f>IF($B210="","",'Oneri mensili'!$C$8)</f>
      </c>
      <c r="P210" s="82" t="str">
        <f>IF($B210="","",'Oneri mensili'!$C$8*(POWER(1+'Oneri mensili'!$C$8,$B210-1+1)))</f>
      </c>
      <c r="Q210" s="82" t="str">
        <f t="shared" si="18"/>
      </c>
      <c r="R210" s="80"/>
      <c r="S210" s="81" t="str">
        <f t="shared" si="16"/>
      </c>
      <c r="T210" s="81" t="str">
        <f>IF(S210="","",J210/(POWER(1+'Oneri mensili'!$C$8,$B210-1+1)))</f>
      </c>
      <c r="U210" s="83" t="str">
        <f t="shared" si="19"/>
      </c>
      <c r="V210" s="81" t="str">
        <f>IF($B210="","",K210/(POWER(1+'Oneri mensili'!$C$8,$B210-1+1)))</f>
      </c>
      <c r="W210" s="80"/>
    </row>
    <row r="211" spans="1:23" s="85" customFormat="1">
      <c r="A211" s="76"/>
      <c r="B211" s="77" t="str">
        <f>IF($B210="","",IF($B210+1&gt;'Oneri mensili'!$C$4,"",Schema!B210+1))</f>
      </c>
      <c r="C211" s="78" t="str">
        <f>IF($B210="","",IF($B210+1&gt;'Oneri mensili'!$C$4,"",EOMONTH(C210,0)+1))</f>
      </c>
      <c r="D211" s="76"/>
      <c r="E211" s="78" t="str">
        <f>IF($B210="","",IF($B210+1&gt;'Oneri mensili'!$C$4,"",F210+1))</f>
      </c>
      <c r="F211" s="78" t="str">
        <f>IF($B210="","",IF($B210+1&gt;'Oneri mensili'!$C$4,"",EOMONTH(E211,0)))</f>
      </c>
      <c r="G211" s="79" t="str">
        <f>IF($B210="","",IF($B210+1&gt;'Oneri mensili'!$C$4,"",(F211-E211)+1)/DAY(F211))</f>
      </c>
      <c r="H211" s="80"/>
      <c r="I211" s="81" t="str">
        <f>IF($B210="","",IF($B210+1&gt;'Oneri mensili'!$C$4,"",I210-J210))</f>
      </c>
      <c r="J211" s="81" t="str">
        <f>IF($B210="","",IF($B210+1&gt;'Oneri mensili'!$C$4,"",IF(B210&lt;'Oneri mensili'!$C$11-1,0,IF('Oneri mensili'!$C$10=dropdowns!$B$186,'Oneri mensili'!$J$3,IF('Oneri mensili'!$C$10=dropdowns!$B$185,IFERROR('Oneri mensili'!$J$3-K211,0),0)))))</f>
      </c>
      <c r="K211" s="81" t="str">
        <f>IF($B210="","",IF($B210+1&gt;'Oneri mensili'!$C$4,"",G211*I211*'Oneri mensili'!$C$8))</f>
      </c>
      <c r="L211" s="81" t="str">
        <f t="shared" si="17"/>
      </c>
      <c r="M211" s="81" t="str">
        <f t="shared" si="15"/>
      </c>
      <c r="N211" s="80"/>
      <c r="O211" s="82" t="str">
        <f>IF($B211="","",'Oneri mensili'!$C$8)</f>
      </c>
      <c r="P211" s="82" t="str">
        <f>IF($B211="","",'Oneri mensili'!$C$8*(POWER(1+'Oneri mensili'!$C$8,$B211-1+1)))</f>
      </c>
      <c r="Q211" s="82" t="str">
        <f t="shared" si="18"/>
      </c>
      <c r="R211" s="80"/>
      <c r="S211" s="81" t="str">
        <f t="shared" si="16"/>
      </c>
      <c r="T211" s="81" t="str">
        <f>IF(S211="","",J211/(POWER(1+'Oneri mensili'!$C$8,$B211-1+1)))</f>
      </c>
      <c r="U211" s="83" t="str">
        <f t="shared" si="19"/>
      </c>
      <c r="V211" s="81" t="str">
        <f>IF($B211="","",K211/(POWER(1+'Oneri mensili'!$C$8,$B211-1+1)))</f>
      </c>
      <c r="W211" s="80"/>
    </row>
    <row r="212" spans="1:23" s="85" customFormat="1">
      <c r="A212" s="76"/>
      <c r="B212" s="77" t="str">
        <f>IF($B211="","",IF($B211+1&gt;'Oneri mensili'!$C$4,"",Schema!B211+1))</f>
      </c>
      <c r="C212" s="78" t="str">
        <f>IF($B211="","",IF($B211+1&gt;'Oneri mensili'!$C$4,"",EOMONTH(C211,0)+1))</f>
      </c>
      <c r="D212" s="76"/>
      <c r="E212" s="78" t="str">
        <f>IF($B211="","",IF($B211+1&gt;'Oneri mensili'!$C$4,"",F211+1))</f>
      </c>
      <c r="F212" s="78" t="str">
        <f>IF($B211="","",IF($B211+1&gt;'Oneri mensili'!$C$4,"",EOMONTH(E212,0)))</f>
      </c>
      <c r="G212" s="79" t="str">
        <f>IF($B211="","",IF($B211+1&gt;'Oneri mensili'!$C$4,"",(F212-E212)+1)/DAY(F212))</f>
      </c>
      <c r="H212" s="80"/>
      <c r="I212" s="81" t="str">
        <f>IF($B211="","",IF($B211+1&gt;'Oneri mensili'!$C$4,"",I211-J211))</f>
      </c>
      <c r="J212" s="81" t="str">
        <f>IF($B211="","",IF($B211+1&gt;'Oneri mensili'!$C$4,"",IF(B211&lt;'Oneri mensili'!$C$11-1,0,IF('Oneri mensili'!$C$10=dropdowns!$B$186,'Oneri mensili'!$J$3,IF('Oneri mensili'!$C$10=dropdowns!$B$185,IFERROR('Oneri mensili'!$J$3-K212,0),0)))))</f>
      </c>
      <c r="K212" s="81" t="str">
        <f>IF($B211="","",IF($B211+1&gt;'Oneri mensili'!$C$4,"",G212*I212*'Oneri mensili'!$C$8))</f>
      </c>
      <c r="L212" s="81" t="str">
        <f t="shared" si="17"/>
      </c>
      <c r="M212" s="81" t="str">
        <f t="shared" si="15"/>
      </c>
      <c r="N212" s="80"/>
      <c r="O212" s="82" t="str">
        <f>IF($B212="","",'Oneri mensili'!$C$8)</f>
      </c>
      <c r="P212" s="82" t="str">
        <f>IF($B212="","",'Oneri mensili'!$C$8*(POWER(1+'Oneri mensili'!$C$8,$B212-1+1)))</f>
      </c>
      <c r="Q212" s="82" t="str">
        <f t="shared" si="18"/>
      </c>
      <c r="R212" s="80"/>
      <c r="S212" s="81" t="str">
        <f t="shared" si="16"/>
      </c>
      <c r="T212" s="81" t="str">
        <f>IF(S212="","",J212/(POWER(1+'Oneri mensili'!$C$8,$B212-1+1)))</f>
      </c>
      <c r="U212" s="83" t="str">
        <f t="shared" si="19"/>
      </c>
      <c r="V212" s="81" t="str">
        <f>IF($B212="","",K212/(POWER(1+'Oneri mensili'!$C$8,$B212-1+1)))</f>
      </c>
      <c r="W212" s="80"/>
    </row>
    <row r="213" spans="1:23" s="85" customFormat="1">
      <c r="A213" s="76"/>
      <c r="B213" s="77" t="str">
        <f>IF($B212="","",IF($B212+1&gt;'Oneri mensili'!$C$4,"",Schema!B212+1))</f>
      </c>
      <c r="C213" s="78" t="str">
        <f>IF($B212="","",IF($B212+1&gt;'Oneri mensili'!$C$4,"",EOMONTH(C212,0)+1))</f>
      </c>
      <c r="D213" s="76"/>
      <c r="E213" s="78" t="str">
        <f>IF($B212="","",IF($B212+1&gt;'Oneri mensili'!$C$4,"",F212+1))</f>
      </c>
      <c r="F213" s="78" t="str">
        <f>IF($B212="","",IF($B212+1&gt;'Oneri mensili'!$C$4,"",EOMONTH(E213,0)))</f>
      </c>
      <c r="G213" s="79" t="str">
        <f>IF($B212="","",IF($B212+1&gt;'Oneri mensili'!$C$4,"",(F213-E213)+1)/DAY(F213))</f>
      </c>
      <c r="H213" s="80"/>
      <c r="I213" s="81" t="str">
        <f>IF($B212="","",IF($B212+1&gt;'Oneri mensili'!$C$4,"",I212-J212))</f>
      </c>
      <c r="J213" s="81" t="str">
        <f>IF($B212="","",IF($B212+1&gt;'Oneri mensili'!$C$4,"",IF(B212&lt;'Oneri mensili'!$C$11-1,0,IF('Oneri mensili'!$C$10=dropdowns!$B$186,'Oneri mensili'!$J$3,IF('Oneri mensili'!$C$10=dropdowns!$B$185,IFERROR('Oneri mensili'!$J$3-K213,0),0)))))</f>
      </c>
      <c r="K213" s="81" t="str">
        <f>IF($B212="","",IF($B212+1&gt;'Oneri mensili'!$C$4,"",G213*I213*'Oneri mensili'!$C$8))</f>
      </c>
      <c r="L213" s="81" t="str">
        <f t="shared" si="17"/>
      </c>
      <c r="M213" s="81" t="str">
        <f t="shared" si="15"/>
      </c>
      <c r="N213" s="80"/>
      <c r="O213" s="82" t="str">
        <f>IF($B213="","",'Oneri mensili'!$C$8)</f>
      </c>
      <c r="P213" s="82" t="str">
        <f>IF($B213="","",'Oneri mensili'!$C$8*(POWER(1+'Oneri mensili'!$C$8,$B213-1+1)))</f>
      </c>
      <c r="Q213" s="82" t="str">
        <f t="shared" si="18"/>
      </c>
      <c r="R213" s="80"/>
      <c r="S213" s="81" t="str">
        <f t="shared" si="16"/>
      </c>
      <c r="T213" s="81" t="str">
        <f>IF(S213="","",J213/(POWER(1+'Oneri mensili'!$C$8,$B213-1+1)))</f>
      </c>
      <c r="U213" s="83" t="str">
        <f t="shared" si="19"/>
      </c>
      <c r="V213" s="81" t="str">
        <f>IF($B213="","",K213/(POWER(1+'Oneri mensili'!$C$8,$B213-1+1)))</f>
      </c>
      <c r="W213" s="80"/>
    </row>
    <row r="214" spans="1:23" s="85" customFormat="1">
      <c r="A214" s="76"/>
      <c r="B214" s="77" t="str">
        <f>IF($B213="","",IF($B213+1&gt;'Oneri mensili'!$C$4,"",Schema!B213+1))</f>
      </c>
      <c r="C214" s="78" t="str">
        <f>IF($B213="","",IF($B213+1&gt;'Oneri mensili'!$C$4,"",EOMONTH(C213,0)+1))</f>
      </c>
      <c r="D214" s="76"/>
      <c r="E214" s="78" t="str">
        <f>IF($B213="","",IF($B213+1&gt;'Oneri mensili'!$C$4,"",F213+1))</f>
      </c>
      <c r="F214" s="78" t="str">
        <f>IF($B213="","",IF($B213+1&gt;'Oneri mensili'!$C$4,"",EOMONTH(E214,0)))</f>
      </c>
      <c r="G214" s="79" t="str">
        <f>IF($B213="","",IF($B213+1&gt;'Oneri mensili'!$C$4,"",(F214-E214)+1)/DAY(F214))</f>
      </c>
      <c r="H214" s="80"/>
      <c r="I214" s="81" t="str">
        <f>IF($B213="","",IF($B213+1&gt;'Oneri mensili'!$C$4,"",I213-J213))</f>
      </c>
      <c r="J214" s="81" t="str">
        <f>IF($B213="","",IF($B213+1&gt;'Oneri mensili'!$C$4,"",IF(B213&lt;'Oneri mensili'!$C$11-1,0,IF('Oneri mensili'!$C$10=dropdowns!$B$186,'Oneri mensili'!$J$3,IF('Oneri mensili'!$C$10=dropdowns!$B$185,IFERROR('Oneri mensili'!$J$3-K214,0),0)))))</f>
      </c>
      <c r="K214" s="81" t="str">
        <f>IF($B213="","",IF($B213+1&gt;'Oneri mensili'!$C$4,"",G214*I214*'Oneri mensili'!$C$8))</f>
      </c>
      <c r="L214" s="81" t="str">
        <f t="shared" si="17"/>
      </c>
      <c r="M214" s="81" t="str">
        <f t="shared" si="15"/>
      </c>
      <c r="N214" s="80"/>
      <c r="O214" s="82" t="str">
        <f>IF($B214="","",'Oneri mensili'!$C$8)</f>
      </c>
      <c r="P214" s="82" t="str">
        <f>IF($B214="","",'Oneri mensili'!$C$8*(POWER(1+'Oneri mensili'!$C$8,$B214-1+1)))</f>
      </c>
      <c r="Q214" s="82" t="str">
        <f t="shared" si="18"/>
      </c>
      <c r="R214" s="80"/>
      <c r="S214" s="81" t="str">
        <f t="shared" si="16"/>
      </c>
      <c r="T214" s="81" t="str">
        <f>IF(S214="","",J214/(POWER(1+'Oneri mensili'!$C$8,$B214-1+1)))</f>
      </c>
      <c r="U214" s="83" t="str">
        <f t="shared" si="19"/>
      </c>
      <c r="V214" s="81" t="str">
        <f>IF($B214="","",K214/(POWER(1+'Oneri mensili'!$C$8,$B214-1+1)))</f>
      </c>
      <c r="W214" s="80"/>
    </row>
    <row r="215" spans="1:23" s="85" customFormat="1">
      <c r="A215" s="76"/>
      <c r="B215" s="77" t="str">
        <f>IF($B214="","",IF($B214+1&gt;'Oneri mensili'!$C$4,"",Schema!B214+1))</f>
      </c>
      <c r="C215" s="78" t="str">
        <f>IF($B214="","",IF($B214+1&gt;'Oneri mensili'!$C$4,"",EOMONTH(C214,0)+1))</f>
      </c>
      <c r="D215" s="76"/>
      <c r="E215" s="78" t="str">
        <f>IF($B214="","",IF($B214+1&gt;'Oneri mensili'!$C$4,"",F214+1))</f>
      </c>
      <c r="F215" s="78" t="str">
        <f>IF($B214="","",IF($B214+1&gt;'Oneri mensili'!$C$4,"",EOMONTH(E215,0)))</f>
      </c>
      <c r="G215" s="79" t="str">
        <f>IF($B214="","",IF($B214+1&gt;'Oneri mensili'!$C$4,"",(F215-E215)+1)/DAY(F215))</f>
      </c>
      <c r="H215" s="80"/>
      <c r="I215" s="81" t="str">
        <f>IF($B214="","",IF($B214+1&gt;'Oneri mensili'!$C$4,"",I214-J214))</f>
      </c>
      <c r="J215" s="81" t="str">
        <f>IF($B214="","",IF($B214+1&gt;'Oneri mensili'!$C$4,"",IF(B214&lt;'Oneri mensili'!$C$11-1,0,IF('Oneri mensili'!$C$10=dropdowns!$B$186,'Oneri mensili'!$J$3,IF('Oneri mensili'!$C$10=dropdowns!$B$185,IFERROR('Oneri mensili'!$J$3-K215,0),0)))))</f>
      </c>
      <c r="K215" s="81" t="str">
        <f>IF($B214="","",IF($B214+1&gt;'Oneri mensili'!$C$4,"",G215*I215*'Oneri mensili'!$C$8))</f>
      </c>
      <c r="L215" s="81" t="str">
        <f t="shared" si="17"/>
      </c>
      <c r="M215" s="81" t="str">
        <f t="shared" si="15"/>
      </c>
      <c r="N215" s="80"/>
      <c r="O215" s="82" t="str">
        <f>IF($B215="","",'Oneri mensili'!$C$8)</f>
      </c>
      <c r="P215" s="82" t="str">
        <f>IF($B215="","",'Oneri mensili'!$C$8*(POWER(1+'Oneri mensili'!$C$8,$B215-1+1)))</f>
      </c>
      <c r="Q215" s="82" t="str">
        <f t="shared" si="18"/>
      </c>
      <c r="R215" s="80"/>
      <c r="S215" s="81" t="str">
        <f t="shared" si="16"/>
      </c>
      <c r="T215" s="81" t="str">
        <f>IF(S215="","",J215/(POWER(1+'Oneri mensili'!$C$8,$B215-1+1)))</f>
      </c>
      <c r="U215" s="83" t="str">
        <f t="shared" si="19"/>
      </c>
      <c r="V215" s="81" t="str">
        <f>IF($B215="","",K215/(POWER(1+'Oneri mensili'!$C$8,$B215-1+1)))</f>
      </c>
      <c r="W215" s="80"/>
    </row>
    <row r="216" spans="1:23" s="85" customFormat="1">
      <c r="A216" s="76"/>
      <c r="B216" s="77" t="str">
        <f>IF($B215="","",IF($B215+1&gt;'Oneri mensili'!$C$4,"",Schema!B215+1))</f>
      </c>
      <c r="C216" s="78" t="str">
        <f>IF($B215="","",IF($B215+1&gt;'Oneri mensili'!$C$4,"",EOMONTH(C215,0)+1))</f>
      </c>
      <c r="D216" s="76"/>
      <c r="E216" s="78" t="str">
        <f>IF($B215="","",IF($B215+1&gt;'Oneri mensili'!$C$4,"",F215+1))</f>
      </c>
      <c r="F216" s="78" t="str">
        <f>IF($B215="","",IF($B215+1&gt;'Oneri mensili'!$C$4,"",EOMONTH(E216,0)))</f>
      </c>
      <c r="G216" s="79" t="str">
        <f>IF($B215="","",IF($B215+1&gt;'Oneri mensili'!$C$4,"",(F216-E216)+1)/DAY(F216))</f>
      </c>
      <c r="H216" s="80"/>
      <c r="I216" s="81" t="str">
        <f>IF($B215="","",IF($B215+1&gt;'Oneri mensili'!$C$4,"",I215-J215))</f>
      </c>
      <c r="J216" s="81" t="str">
        <f>IF($B215="","",IF($B215+1&gt;'Oneri mensili'!$C$4,"",IF(B215&lt;'Oneri mensili'!$C$11-1,0,IF('Oneri mensili'!$C$10=dropdowns!$B$186,'Oneri mensili'!$J$3,IF('Oneri mensili'!$C$10=dropdowns!$B$185,IFERROR('Oneri mensili'!$J$3-K216,0),0)))))</f>
      </c>
      <c r="K216" s="81" t="str">
        <f>IF($B215="","",IF($B215+1&gt;'Oneri mensili'!$C$4,"",G216*I216*'Oneri mensili'!$C$8))</f>
      </c>
      <c r="L216" s="81" t="str">
        <f t="shared" si="17"/>
      </c>
      <c r="M216" s="81" t="str">
        <f t="shared" si="15"/>
      </c>
      <c r="N216" s="80"/>
      <c r="O216" s="82" t="str">
        <f>IF($B216="","",'Oneri mensili'!$C$8)</f>
      </c>
      <c r="P216" s="82" t="str">
        <f>IF($B216="","",'Oneri mensili'!$C$8*(POWER(1+'Oneri mensili'!$C$8,$B216-1+1)))</f>
      </c>
      <c r="Q216" s="82" t="str">
        <f t="shared" si="18"/>
      </c>
      <c r="R216" s="80"/>
      <c r="S216" s="81" t="str">
        <f t="shared" si="16"/>
      </c>
      <c r="T216" s="81" t="str">
        <f>IF(S216="","",J216/(POWER(1+'Oneri mensili'!$C$8,$B216-1+1)))</f>
      </c>
      <c r="U216" s="83" t="str">
        <f t="shared" si="19"/>
      </c>
      <c r="V216" s="81" t="str">
        <f>IF($B216="","",K216/(POWER(1+'Oneri mensili'!$C$8,$B216-1+1)))</f>
      </c>
      <c r="W216" s="80"/>
    </row>
    <row r="217" spans="1:23" s="85" customFormat="1">
      <c r="A217" s="76"/>
      <c r="B217" s="77" t="str">
        <f>IF($B216="","",IF($B216+1&gt;'Oneri mensili'!$C$4,"",Schema!B216+1))</f>
      </c>
      <c r="C217" s="78" t="str">
        <f>IF($B216="","",IF($B216+1&gt;'Oneri mensili'!$C$4,"",EOMONTH(C216,0)+1))</f>
      </c>
      <c r="D217" s="76"/>
      <c r="E217" s="78" t="str">
        <f>IF($B216="","",IF($B216+1&gt;'Oneri mensili'!$C$4,"",F216+1))</f>
      </c>
      <c r="F217" s="78" t="str">
        <f>IF($B216="","",IF($B216+1&gt;'Oneri mensili'!$C$4,"",EOMONTH(E217,0)))</f>
      </c>
      <c r="G217" s="79" t="str">
        <f>IF($B216="","",IF($B216+1&gt;'Oneri mensili'!$C$4,"",(F217-E217)+1)/DAY(F217))</f>
      </c>
      <c r="H217" s="80"/>
      <c r="I217" s="81" t="str">
        <f>IF($B216="","",IF($B216+1&gt;'Oneri mensili'!$C$4,"",I216-J216))</f>
      </c>
      <c r="J217" s="81" t="str">
        <f>IF($B216="","",IF($B216+1&gt;'Oneri mensili'!$C$4,"",IF(B216&lt;'Oneri mensili'!$C$11-1,0,IF('Oneri mensili'!$C$10=dropdowns!$B$186,'Oneri mensili'!$J$3,IF('Oneri mensili'!$C$10=dropdowns!$B$185,IFERROR('Oneri mensili'!$J$3-K217,0),0)))))</f>
      </c>
      <c r="K217" s="81" t="str">
        <f>IF($B216="","",IF($B216+1&gt;'Oneri mensili'!$C$4,"",G217*I217*'Oneri mensili'!$C$8))</f>
      </c>
      <c r="L217" s="81" t="str">
        <f t="shared" si="17"/>
      </c>
      <c r="M217" s="81" t="str">
        <f t="shared" si="15"/>
      </c>
      <c r="N217" s="80"/>
      <c r="O217" s="82" t="str">
        <f>IF($B217="","",'Oneri mensili'!$C$8)</f>
      </c>
      <c r="P217" s="82" t="str">
        <f>IF($B217="","",'Oneri mensili'!$C$8*(POWER(1+'Oneri mensili'!$C$8,$B217-1+1)))</f>
      </c>
      <c r="Q217" s="82" t="str">
        <f t="shared" si="18"/>
      </c>
      <c r="R217" s="80"/>
      <c r="S217" s="81" t="str">
        <f t="shared" si="16"/>
      </c>
      <c r="T217" s="81" t="str">
        <f>IF(S217="","",J217/(POWER(1+'Oneri mensili'!$C$8,$B217-1+1)))</f>
      </c>
      <c r="U217" s="83" t="str">
        <f t="shared" si="19"/>
      </c>
      <c r="V217" s="81" t="str">
        <f>IF($B217="","",K217/(POWER(1+'Oneri mensili'!$C$8,$B217-1+1)))</f>
      </c>
      <c r="W217" s="80"/>
    </row>
    <row r="218" spans="1:23" s="85" customFormat="1">
      <c r="A218" s="76"/>
      <c r="B218" s="77" t="str">
        <f>IF($B217="","",IF($B217+1&gt;'Oneri mensili'!$C$4,"",Schema!B217+1))</f>
      </c>
      <c r="C218" s="78" t="str">
        <f>IF($B217="","",IF($B217+1&gt;'Oneri mensili'!$C$4,"",EOMONTH(C217,0)+1))</f>
      </c>
      <c r="D218" s="76"/>
      <c r="E218" s="78" t="str">
        <f>IF($B217="","",IF($B217+1&gt;'Oneri mensili'!$C$4,"",F217+1))</f>
      </c>
      <c r="F218" s="78" t="str">
        <f>IF($B217="","",IF($B217+1&gt;'Oneri mensili'!$C$4,"",EOMONTH(E218,0)))</f>
      </c>
      <c r="G218" s="79" t="str">
        <f>IF($B217="","",IF($B217+1&gt;'Oneri mensili'!$C$4,"",(F218-E218)+1)/DAY(F218))</f>
      </c>
      <c r="H218" s="80"/>
      <c r="I218" s="81" t="str">
        <f>IF($B217="","",IF($B217+1&gt;'Oneri mensili'!$C$4,"",I217-J217))</f>
      </c>
      <c r="J218" s="81" t="str">
        <f>IF($B217="","",IF($B217+1&gt;'Oneri mensili'!$C$4,"",IF(B217&lt;'Oneri mensili'!$C$11-1,0,IF('Oneri mensili'!$C$10=dropdowns!$B$186,'Oneri mensili'!$J$3,IF('Oneri mensili'!$C$10=dropdowns!$B$185,IFERROR('Oneri mensili'!$J$3-K218,0),0)))))</f>
      </c>
      <c r="K218" s="81" t="str">
        <f>IF($B217="","",IF($B217+1&gt;'Oneri mensili'!$C$4,"",G218*I218*'Oneri mensili'!$C$8))</f>
      </c>
      <c r="L218" s="81" t="str">
        <f t="shared" si="17"/>
      </c>
      <c r="M218" s="81" t="str">
        <f t="shared" si="15"/>
      </c>
      <c r="N218" s="80"/>
      <c r="O218" s="82" t="str">
        <f>IF($B218="","",'Oneri mensili'!$C$8)</f>
      </c>
      <c r="P218" s="82" t="str">
        <f>IF($B218="","",'Oneri mensili'!$C$8*(POWER(1+'Oneri mensili'!$C$8,$B218-1+1)))</f>
      </c>
      <c r="Q218" s="82" t="str">
        <f t="shared" si="18"/>
      </c>
      <c r="R218" s="80"/>
      <c r="S218" s="81" t="str">
        <f t="shared" si="16"/>
      </c>
      <c r="T218" s="81" t="str">
        <f>IF(S218="","",J218/(POWER(1+'Oneri mensili'!$C$8,$B218-1+1)))</f>
      </c>
      <c r="U218" s="83" t="str">
        <f t="shared" si="19"/>
      </c>
      <c r="V218" s="81" t="str">
        <f>IF($B218="","",K218/(POWER(1+'Oneri mensili'!$C$8,$B218-1+1)))</f>
      </c>
      <c r="W218" s="80"/>
    </row>
    <row r="219" spans="1:23" s="85" customFormat="1">
      <c r="A219" s="76"/>
      <c r="B219" s="77" t="str">
        <f>IF($B218="","",IF($B218+1&gt;'Oneri mensili'!$C$4,"",Schema!B218+1))</f>
      </c>
      <c r="C219" s="78" t="str">
        <f>IF($B218="","",IF($B218+1&gt;'Oneri mensili'!$C$4,"",EOMONTH(C218,0)+1))</f>
      </c>
      <c r="D219" s="76"/>
      <c r="E219" s="78" t="str">
        <f>IF($B218="","",IF($B218+1&gt;'Oneri mensili'!$C$4,"",F218+1))</f>
      </c>
      <c r="F219" s="78" t="str">
        <f>IF($B218="","",IF($B218+1&gt;'Oneri mensili'!$C$4,"",EOMONTH(E219,0)))</f>
      </c>
      <c r="G219" s="79" t="str">
        <f>IF($B218="","",IF($B218+1&gt;'Oneri mensili'!$C$4,"",(F219-E219)+1)/DAY(F219))</f>
      </c>
      <c r="H219" s="80"/>
      <c r="I219" s="81" t="str">
        <f>IF($B218="","",IF($B218+1&gt;'Oneri mensili'!$C$4,"",I218-J218))</f>
      </c>
      <c r="J219" s="81" t="str">
        <f>IF($B218="","",IF($B218+1&gt;'Oneri mensili'!$C$4,"",IF(B218&lt;'Oneri mensili'!$C$11-1,0,IF('Oneri mensili'!$C$10=dropdowns!$B$186,'Oneri mensili'!$J$3,IF('Oneri mensili'!$C$10=dropdowns!$B$185,IFERROR('Oneri mensili'!$J$3-K219,0),0)))))</f>
      </c>
      <c r="K219" s="81" t="str">
        <f>IF($B218="","",IF($B218+1&gt;'Oneri mensili'!$C$4,"",G219*I219*'Oneri mensili'!$C$8))</f>
      </c>
      <c r="L219" s="81" t="str">
        <f t="shared" si="17"/>
      </c>
      <c r="M219" s="81" t="str">
        <f t="shared" si="15"/>
      </c>
      <c r="N219" s="80"/>
      <c r="O219" s="82" t="str">
        <f>IF($B219="","",'Oneri mensili'!$C$8)</f>
      </c>
      <c r="P219" s="82" t="str">
        <f>IF($B219="","",'Oneri mensili'!$C$8*(POWER(1+'Oneri mensili'!$C$8,$B219-1+1)))</f>
      </c>
      <c r="Q219" s="82" t="str">
        <f t="shared" si="18"/>
      </c>
      <c r="R219" s="80"/>
      <c r="S219" s="81" t="str">
        <f t="shared" si="16"/>
      </c>
      <c r="T219" s="81" t="str">
        <f>IF(S219="","",J219/(POWER(1+'Oneri mensili'!$C$8,$B219-1+1)))</f>
      </c>
      <c r="U219" s="83" t="str">
        <f t="shared" si="19"/>
      </c>
      <c r="V219" s="81" t="str">
        <f>IF($B219="","",K219/(POWER(1+'Oneri mensili'!$C$8,$B219-1+1)))</f>
      </c>
      <c r="W219" s="80"/>
    </row>
    <row r="220" spans="1:23" s="85" customFormat="1">
      <c r="A220" s="76"/>
      <c r="B220" s="77" t="str">
        <f>IF($B219="","",IF($B219+1&gt;'Oneri mensili'!$C$4,"",Schema!B219+1))</f>
      </c>
      <c r="C220" s="78" t="str">
        <f>IF($B219="","",IF($B219+1&gt;'Oneri mensili'!$C$4,"",EOMONTH(C219,0)+1))</f>
      </c>
      <c r="D220" s="76"/>
      <c r="E220" s="78" t="str">
        <f>IF($B219="","",IF($B219+1&gt;'Oneri mensili'!$C$4,"",F219+1))</f>
      </c>
      <c r="F220" s="78" t="str">
        <f>IF($B219="","",IF($B219+1&gt;'Oneri mensili'!$C$4,"",EOMONTH(E220,0)))</f>
      </c>
      <c r="G220" s="79" t="str">
        <f>IF($B219="","",IF($B219+1&gt;'Oneri mensili'!$C$4,"",(F220-E220)+1)/DAY(F220))</f>
      </c>
      <c r="H220" s="80"/>
      <c r="I220" s="81" t="str">
        <f>IF($B219="","",IF($B219+1&gt;'Oneri mensili'!$C$4,"",I219-J219))</f>
      </c>
      <c r="J220" s="81" t="str">
        <f>IF($B219="","",IF($B219+1&gt;'Oneri mensili'!$C$4,"",IF(B219&lt;'Oneri mensili'!$C$11-1,0,IF('Oneri mensili'!$C$10=dropdowns!$B$186,'Oneri mensili'!$J$3,IF('Oneri mensili'!$C$10=dropdowns!$B$185,IFERROR('Oneri mensili'!$J$3-K220,0),0)))))</f>
      </c>
      <c r="K220" s="81" t="str">
        <f>IF($B219="","",IF($B219+1&gt;'Oneri mensili'!$C$4,"",G220*I220*'Oneri mensili'!$C$8))</f>
      </c>
      <c r="L220" s="81" t="str">
        <f t="shared" si="17"/>
      </c>
      <c r="M220" s="81" t="str">
        <f t="shared" si="15"/>
      </c>
      <c r="N220" s="80"/>
      <c r="O220" s="82" t="str">
        <f>IF($B220="","",'Oneri mensili'!$C$8)</f>
      </c>
      <c r="P220" s="82" t="str">
        <f>IF($B220="","",'Oneri mensili'!$C$8*(POWER(1+'Oneri mensili'!$C$8,$B220-1+1)))</f>
      </c>
      <c r="Q220" s="82" t="str">
        <f t="shared" si="18"/>
      </c>
      <c r="R220" s="80"/>
      <c r="S220" s="81" t="str">
        <f t="shared" si="16"/>
      </c>
      <c r="T220" s="81" t="str">
        <f>IF(S220="","",J220/(POWER(1+'Oneri mensili'!$C$8,$B220-1+1)))</f>
      </c>
      <c r="U220" s="83" t="str">
        <f t="shared" si="19"/>
      </c>
      <c r="V220" s="81" t="str">
        <f>IF($B220="","",K220/(POWER(1+'Oneri mensili'!$C$8,$B220-1+1)))</f>
      </c>
      <c r="W220" s="80"/>
    </row>
    <row r="221" spans="1:23" s="85" customFormat="1">
      <c r="A221" s="76"/>
      <c r="B221" s="77" t="str">
        <f>IF($B220="","",IF($B220+1&gt;'Oneri mensili'!$C$4,"",Schema!B220+1))</f>
      </c>
      <c r="C221" s="78" t="str">
        <f>IF($B220="","",IF($B220+1&gt;'Oneri mensili'!$C$4,"",EOMONTH(C220,0)+1))</f>
      </c>
      <c r="D221" s="76"/>
      <c r="E221" s="78" t="str">
        <f>IF($B220="","",IF($B220+1&gt;'Oneri mensili'!$C$4,"",F220+1))</f>
      </c>
      <c r="F221" s="78" t="str">
        <f>IF($B220="","",IF($B220+1&gt;'Oneri mensili'!$C$4,"",EOMONTH(E221,0)))</f>
      </c>
      <c r="G221" s="79" t="str">
        <f>IF($B220="","",IF($B220+1&gt;'Oneri mensili'!$C$4,"",(F221-E221)+1)/DAY(F221))</f>
      </c>
      <c r="H221" s="80"/>
      <c r="I221" s="81" t="str">
        <f>IF($B220="","",IF($B220+1&gt;'Oneri mensili'!$C$4,"",I220-J220))</f>
      </c>
      <c r="J221" s="81" t="str">
        <f>IF($B220="","",IF($B220+1&gt;'Oneri mensili'!$C$4,"",IF(B220&lt;'Oneri mensili'!$C$11-1,0,IF('Oneri mensili'!$C$10=dropdowns!$B$186,'Oneri mensili'!$J$3,IF('Oneri mensili'!$C$10=dropdowns!$B$185,IFERROR('Oneri mensili'!$J$3-K221,0),0)))))</f>
      </c>
      <c r="K221" s="81" t="str">
        <f>IF($B220="","",IF($B220+1&gt;'Oneri mensili'!$C$4,"",G221*I221*'Oneri mensili'!$C$8))</f>
      </c>
      <c r="L221" s="81" t="str">
        <f t="shared" si="17"/>
      </c>
      <c r="M221" s="81" t="str">
        <f t="shared" si="15"/>
      </c>
      <c r="N221" s="80"/>
      <c r="O221" s="82" t="str">
        <f>IF($B221="","",'Oneri mensili'!$C$8)</f>
      </c>
      <c r="P221" s="82" t="str">
        <f>IF($B221="","",'Oneri mensili'!$C$8*(POWER(1+'Oneri mensili'!$C$8,$B221-1+1)))</f>
      </c>
      <c r="Q221" s="82" t="str">
        <f t="shared" si="18"/>
      </c>
      <c r="R221" s="80"/>
      <c r="S221" s="81" t="str">
        <f t="shared" si="16"/>
      </c>
      <c r="T221" s="81" t="str">
        <f>IF(S221="","",J221/(POWER(1+'Oneri mensili'!$C$8,$B221-1+1)))</f>
      </c>
      <c r="U221" s="83" t="str">
        <f t="shared" si="19"/>
      </c>
      <c r="V221" s="81" t="str">
        <f>IF($B221="","",K221/(POWER(1+'Oneri mensili'!$C$8,$B221-1+1)))</f>
      </c>
      <c r="W221" s="80"/>
    </row>
    <row r="222" spans="1:23" s="85" customFormat="1">
      <c r="A222" s="76"/>
      <c r="B222" s="77" t="str">
        <f>IF($B221="","",IF($B221+1&gt;'Oneri mensili'!$C$4,"",Schema!B221+1))</f>
      </c>
      <c r="C222" s="78" t="str">
        <f>IF($B221="","",IF($B221+1&gt;'Oneri mensili'!$C$4,"",EOMONTH(C221,0)+1))</f>
      </c>
      <c r="D222" s="76"/>
      <c r="E222" s="78" t="str">
        <f>IF($B221="","",IF($B221+1&gt;'Oneri mensili'!$C$4,"",F221+1))</f>
      </c>
      <c r="F222" s="78" t="str">
        <f>IF($B221="","",IF($B221+1&gt;'Oneri mensili'!$C$4,"",EOMONTH(E222,0)))</f>
      </c>
      <c r="G222" s="79" t="str">
        <f>IF($B221="","",IF($B221+1&gt;'Oneri mensili'!$C$4,"",(F222-E222)+1)/DAY(F222))</f>
      </c>
      <c r="H222" s="80"/>
      <c r="I222" s="81" t="str">
        <f>IF($B221="","",IF($B221+1&gt;'Oneri mensili'!$C$4,"",I221-J221))</f>
      </c>
      <c r="J222" s="81" t="str">
        <f>IF($B221="","",IF($B221+1&gt;'Oneri mensili'!$C$4,"",IF(B221&lt;'Oneri mensili'!$C$11-1,0,IF('Oneri mensili'!$C$10=dropdowns!$B$186,'Oneri mensili'!$J$3,IF('Oneri mensili'!$C$10=dropdowns!$B$185,IFERROR('Oneri mensili'!$J$3-K222,0),0)))))</f>
      </c>
      <c r="K222" s="81" t="str">
        <f>IF($B221="","",IF($B221+1&gt;'Oneri mensili'!$C$4,"",G222*I222*'Oneri mensili'!$C$8))</f>
      </c>
      <c r="L222" s="81" t="str">
        <f t="shared" si="17"/>
      </c>
      <c r="M222" s="81" t="str">
        <f t="shared" si="15"/>
      </c>
      <c r="N222" s="80"/>
      <c r="O222" s="82" t="str">
        <f>IF($B222="","",'Oneri mensili'!$C$8)</f>
      </c>
      <c r="P222" s="82" t="str">
        <f>IF($B222="","",'Oneri mensili'!$C$8*(POWER(1+'Oneri mensili'!$C$8,$B222-1+1)))</f>
      </c>
      <c r="Q222" s="82" t="str">
        <f t="shared" si="18"/>
      </c>
      <c r="R222" s="80"/>
      <c r="S222" s="81" t="str">
        <f t="shared" si="16"/>
      </c>
      <c r="T222" s="81" t="str">
        <f>IF(S222="","",J222/(POWER(1+'Oneri mensili'!$C$8,$B222-1+1)))</f>
      </c>
      <c r="U222" s="83" t="str">
        <f t="shared" si="19"/>
      </c>
      <c r="V222" s="81" t="str">
        <f>IF($B222="","",K222/(POWER(1+'Oneri mensili'!$C$8,$B222-1+1)))</f>
      </c>
      <c r="W222" s="80"/>
    </row>
    <row r="223" spans="1:23" s="85" customFormat="1">
      <c r="A223" s="76"/>
      <c r="B223" s="77" t="str">
        <f>IF($B222="","",IF($B222+1&gt;'Oneri mensili'!$C$4,"",Schema!B222+1))</f>
      </c>
      <c r="C223" s="78" t="str">
        <f>IF($B222="","",IF($B222+1&gt;'Oneri mensili'!$C$4,"",EOMONTH(C222,0)+1))</f>
      </c>
      <c r="D223" s="76"/>
      <c r="E223" s="78" t="str">
        <f>IF($B222="","",IF($B222+1&gt;'Oneri mensili'!$C$4,"",F222+1))</f>
      </c>
      <c r="F223" s="78" t="str">
        <f>IF($B222="","",IF($B222+1&gt;'Oneri mensili'!$C$4,"",EOMONTH(E223,0)))</f>
      </c>
      <c r="G223" s="79" t="str">
        <f>IF($B222="","",IF($B222+1&gt;'Oneri mensili'!$C$4,"",(F223-E223)+1)/DAY(F223))</f>
      </c>
      <c r="H223" s="80"/>
      <c r="I223" s="81" t="str">
        <f>IF($B222="","",IF($B222+1&gt;'Oneri mensili'!$C$4,"",I222-J222))</f>
      </c>
      <c r="J223" s="81" t="str">
        <f>IF($B222="","",IF($B222+1&gt;'Oneri mensili'!$C$4,"",IF(B222&lt;'Oneri mensili'!$C$11-1,0,IF('Oneri mensili'!$C$10=dropdowns!$B$186,'Oneri mensili'!$J$3,IF('Oneri mensili'!$C$10=dropdowns!$B$185,IFERROR('Oneri mensili'!$J$3-K223,0),0)))))</f>
      </c>
      <c r="K223" s="81" t="str">
        <f>IF($B222="","",IF($B222+1&gt;'Oneri mensili'!$C$4,"",G223*I223*'Oneri mensili'!$C$8))</f>
      </c>
      <c r="L223" s="81" t="str">
        <f t="shared" si="17"/>
      </c>
      <c r="M223" s="81" t="str">
        <f t="shared" si="15"/>
      </c>
      <c r="N223" s="80"/>
      <c r="O223" s="82" t="str">
        <f>IF($B223="","",'Oneri mensili'!$C$8)</f>
      </c>
      <c r="P223" s="82" t="str">
        <f>IF($B223="","",'Oneri mensili'!$C$8*(POWER(1+'Oneri mensili'!$C$8,$B223-1+1)))</f>
      </c>
      <c r="Q223" s="82" t="str">
        <f t="shared" si="18"/>
      </c>
      <c r="R223" s="80"/>
      <c r="S223" s="81" t="str">
        <f t="shared" si="16"/>
      </c>
      <c r="T223" s="81" t="str">
        <f>IF(S223="","",J223/(POWER(1+'Oneri mensili'!$C$8,$B223-1+1)))</f>
      </c>
      <c r="U223" s="83" t="str">
        <f t="shared" si="19"/>
      </c>
      <c r="V223" s="81" t="str">
        <f>IF($B223="","",K223/(POWER(1+'Oneri mensili'!$C$8,$B223-1+1)))</f>
      </c>
      <c r="W223" s="80"/>
    </row>
    <row r="224" spans="1:23" s="85" customFormat="1">
      <c r="A224" s="76"/>
      <c r="B224" s="77" t="str">
        <f>IF($B223="","",IF($B223+1&gt;'Oneri mensili'!$C$4,"",Schema!B223+1))</f>
      </c>
      <c r="C224" s="78" t="str">
        <f>IF($B223="","",IF($B223+1&gt;'Oneri mensili'!$C$4,"",EOMONTH(C223,0)+1))</f>
      </c>
      <c r="D224" s="76"/>
      <c r="E224" s="78" t="str">
        <f>IF($B223="","",IF($B223+1&gt;'Oneri mensili'!$C$4,"",F223+1))</f>
      </c>
      <c r="F224" s="78" t="str">
        <f>IF($B223="","",IF($B223+1&gt;'Oneri mensili'!$C$4,"",EOMONTH(E224,0)))</f>
      </c>
      <c r="G224" s="79" t="str">
        <f>IF($B223="","",IF($B223+1&gt;'Oneri mensili'!$C$4,"",(F224-E224)+1)/DAY(F224))</f>
      </c>
      <c r="H224" s="80"/>
      <c r="I224" s="81" t="str">
        <f>IF($B223="","",IF($B223+1&gt;'Oneri mensili'!$C$4,"",I223-J223))</f>
      </c>
      <c r="J224" s="81" t="str">
        <f>IF($B223="","",IF($B223+1&gt;'Oneri mensili'!$C$4,"",IF(B223&lt;'Oneri mensili'!$C$11-1,0,IF('Oneri mensili'!$C$10=dropdowns!$B$186,'Oneri mensili'!$J$3,IF('Oneri mensili'!$C$10=dropdowns!$B$185,IFERROR('Oneri mensili'!$J$3-K224,0),0)))))</f>
      </c>
      <c r="K224" s="81" t="str">
        <f>IF($B223="","",IF($B223+1&gt;'Oneri mensili'!$C$4,"",G224*I224*'Oneri mensili'!$C$8))</f>
      </c>
      <c r="L224" s="81" t="str">
        <f t="shared" si="17"/>
      </c>
      <c r="M224" s="81" t="str">
        <f t="shared" si="15"/>
      </c>
      <c r="N224" s="80"/>
      <c r="O224" s="82" t="str">
        <f>IF($B224="","",'Oneri mensili'!$C$8)</f>
      </c>
      <c r="P224" s="82" t="str">
        <f>IF($B224="","",'Oneri mensili'!$C$8*(POWER(1+'Oneri mensili'!$C$8,$B224-1+1)))</f>
      </c>
      <c r="Q224" s="82" t="str">
        <f t="shared" si="18"/>
      </c>
      <c r="R224" s="80"/>
      <c r="S224" s="81" t="str">
        <f t="shared" si="16"/>
      </c>
      <c r="T224" s="81" t="str">
        <f>IF(S224="","",J224/(POWER(1+'Oneri mensili'!$C$8,$B224-1+1)))</f>
      </c>
      <c r="U224" s="83" t="str">
        <f t="shared" si="19"/>
      </c>
      <c r="V224" s="81" t="str">
        <f>IF($B224="","",K224/(POWER(1+'Oneri mensili'!$C$8,$B224-1+1)))</f>
      </c>
      <c r="W224" s="80"/>
    </row>
    <row r="225" spans="1:23" s="85" customFormat="1">
      <c r="A225" s="76"/>
      <c r="B225" s="77" t="str">
        <f>IF($B224="","",IF($B224+1&gt;'Oneri mensili'!$C$4,"",Schema!B224+1))</f>
      </c>
      <c r="C225" s="78" t="str">
        <f>IF($B224="","",IF($B224+1&gt;'Oneri mensili'!$C$4,"",EOMONTH(C224,0)+1))</f>
      </c>
      <c r="D225" s="76"/>
      <c r="E225" s="78" t="str">
        <f>IF($B224="","",IF($B224+1&gt;'Oneri mensili'!$C$4,"",F224+1))</f>
      </c>
      <c r="F225" s="78" t="str">
        <f>IF($B224="","",IF($B224+1&gt;'Oneri mensili'!$C$4,"",EOMONTH(E225,0)))</f>
      </c>
      <c r="G225" s="79" t="str">
        <f>IF($B224="","",IF($B224+1&gt;'Oneri mensili'!$C$4,"",(F225-E225)+1)/DAY(F225))</f>
      </c>
      <c r="H225" s="80"/>
      <c r="I225" s="81" t="str">
        <f>IF($B224="","",IF($B224+1&gt;'Oneri mensili'!$C$4,"",I224-J224))</f>
      </c>
      <c r="J225" s="81" t="str">
        <f>IF($B224="","",IF($B224+1&gt;'Oneri mensili'!$C$4,"",IF(B224&lt;'Oneri mensili'!$C$11-1,0,IF('Oneri mensili'!$C$10=dropdowns!$B$186,'Oneri mensili'!$J$3,IF('Oneri mensili'!$C$10=dropdowns!$B$185,IFERROR('Oneri mensili'!$J$3-K225,0),0)))))</f>
      </c>
      <c r="K225" s="81" t="str">
        <f>IF($B224="","",IF($B224+1&gt;'Oneri mensili'!$C$4,"",G225*I225*'Oneri mensili'!$C$8))</f>
      </c>
      <c r="L225" s="81" t="str">
        <f t="shared" si="17"/>
      </c>
      <c r="M225" s="81" t="str">
        <f t="shared" si="15"/>
      </c>
      <c r="N225" s="80"/>
      <c r="O225" s="82" t="str">
        <f>IF($B225="","",'Oneri mensili'!$C$8)</f>
      </c>
      <c r="P225" s="82" t="str">
        <f>IF($B225="","",'Oneri mensili'!$C$8*(POWER(1+'Oneri mensili'!$C$8,$B225-1+1)))</f>
      </c>
      <c r="Q225" s="82" t="str">
        <f t="shared" si="18"/>
      </c>
      <c r="R225" s="80"/>
      <c r="S225" s="81" t="str">
        <f t="shared" si="16"/>
      </c>
      <c r="T225" s="81" t="str">
        <f>IF(S225="","",J225/(POWER(1+'Oneri mensili'!$C$8,$B225-1+1)))</f>
      </c>
      <c r="U225" s="83" t="str">
        <f t="shared" si="19"/>
      </c>
      <c r="V225" s="81" t="str">
        <f>IF($B225="","",K225/(POWER(1+'Oneri mensili'!$C$8,$B225-1+1)))</f>
      </c>
      <c r="W225" s="80"/>
    </row>
    <row r="226" spans="1:23" s="85" customFormat="1">
      <c r="A226" s="76"/>
      <c r="B226" s="77" t="str">
        <f>IF($B225="","",IF($B225+1&gt;'Oneri mensili'!$C$4,"",Schema!B225+1))</f>
      </c>
      <c r="C226" s="78" t="str">
        <f>IF($B225="","",IF($B225+1&gt;'Oneri mensili'!$C$4,"",EOMONTH(C225,0)+1))</f>
      </c>
      <c r="D226" s="76"/>
      <c r="E226" s="78" t="str">
        <f>IF($B225="","",IF($B225+1&gt;'Oneri mensili'!$C$4,"",F225+1))</f>
      </c>
      <c r="F226" s="78" t="str">
        <f>IF($B225="","",IF($B225+1&gt;'Oneri mensili'!$C$4,"",EOMONTH(E226,0)))</f>
      </c>
      <c r="G226" s="79" t="str">
        <f>IF($B225="","",IF($B225+1&gt;'Oneri mensili'!$C$4,"",(F226-E226)+1)/DAY(F226))</f>
      </c>
      <c r="H226" s="80"/>
      <c r="I226" s="81" t="str">
        <f>IF($B225="","",IF($B225+1&gt;'Oneri mensili'!$C$4,"",I225-J225))</f>
      </c>
      <c r="J226" s="81" t="str">
        <f>IF($B225="","",IF($B225+1&gt;'Oneri mensili'!$C$4,"",IF(B225&lt;'Oneri mensili'!$C$11-1,0,IF('Oneri mensili'!$C$10=dropdowns!$B$186,'Oneri mensili'!$J$3,IF('Oneri mensili'!$C$10=dropdowns!$B$185,IFERROR('Oneri mensili'!$J$3-K226,0),0)))))</f>
      </c>
      <c r="K226" s="81" t="str">
        <f>IF($B225="","",IF($B225+1&gt;'Oneri mensili'!$C$4,"",G226*I226*'Oneri mensili'!$C$8))</f>
      </c>
      <c r="L226" s="81" t="str">
        <f t="shared" si="17"/>
      </c>
      <c r="M226" s="81" t="str">
        <f t="shared" si="15"/>
      </c>
      <c r="N226" s="80"/>
      <c r="O226" s="82" t="str">
        <f>IF($B226="","",'Oneri mensili'!$C$8)</f>
      </c>
      <c r="P226" s="82" t="str">
        <f>IF($B226="","",'Oneri mensili'!$C$8*(POWER(1+'Oneri mensili'!$C$8,$B226-1+1)))</f>
      </c>
      <c r="Q226" s="82" t="str">
        <f t="shared" si="18"/>
      </c>
      <c r="R226" s="80"/>
      <c r="S226" s="81" t="str">
        <f t="shared" si="16"/>
      </c>
      <c r="T226" s="81" t="str">
        <f>IF(S226="","",J226/(POWER(1+'Oneri mensili'!$C$8,$B226-1+1)))</f>
      </c>
      <c r="U226" s="83" t="str">
        <f t="shared" si="19"/>
      </c>
      <c r="V226" s="81" t="str">
        <f>IF($B226="","",K226/(POWER(1+'Oneri mensili'!$C$8,$B226-1+1)))</f>
      </c>
      <c r="W226" s="80"/>
    </row>
    <row r="227" spans="1:23" s="85" customFormat="1">
      <c r="A227" s="76"/>
      <c r="B227" s="77" t="str">
        <f>IF($B226="","",IF($B226+1&gt;'Oneri mensili'!$C$4,"",Schema!B226+1))</f>
      </c>
      <c r="C227" s="78" t="str">
        <f>IF($B226="","",IF($B226+1&gt;'Oneri mensili'!$C$4,"",EOMONTH(C226,0)+1))</f>
      </c>
      <c r="D227" s="76"/>
      <c r="E227" s="78" t="str">
        <f>IF($B226="","",IF($B226+1&gt;'Oneri mensili'!$C$4,"",F226+1))</f>
      </c>
      <c r="F227" s="78" t="str">
        <f>IF($B226="","",IF($B226+1&gt;'Oneri mensili'!$C$4,"",EOMONTH(E227,0)))</f>
      </c>
      <c r="G227" s="79" t="str">
        <f>IF($B226="","",IF($B226+1&gt;'Oneri mensili'!$C$4,"",(F227-E227)+1)/DAY(F227))</f>
      </c>
      <c r="H227" s="80"/>
      <c r="I227" s="81" t="str">
        <f>IF($B226="","",IF($B226+1&gt;'Oneri mensili'!$C$4,"",I226-J226))</f>
      </c>
      <c r="J227" s="81" t="str">
        <f>IF($B226="","",IF($B226+1&gt;'Oneri mensili'!$C$4,"",IF(B226&lt;'Oneri mensili'!$C$11-1,0,IF('Oneri mensili'!$C$10=dropdowns!$B$186,'Oneri mensili'!$J$3,IF('Oneri mensili'!$C$10=dropdowns!$B$185,IFERROR('Oneri mensili'!$J$3-K227,0),0)))))</f>
      </c>
      <c r="K227" s="81" t="str">
        <f>IF($B226="","",IF($B226+1&gt;'Oneri mensili'!$C$4,"",G227*I227*'Oneri mensili'!$C$8))</f>
      </c>
      <c r="L227" s="81" t="str">
        <f t="shared" si="17"/>
      </c>
      <c r="M227" s="81" t="str">
        <f t="shared" si="15"/>
      </c>
      <c r="N227" s="80"/>
      <c r="O227" s="82" t="str">
        <f>IF($B227="","",'Oneri mensili'!$C$8)</f>
      </c>
      <c r="P227" s="82" t="str">
        <f>IF($B227="","",'Oneri mensili'!$C$8*(POWER(1+'Oneri mensili'!$C$8,$B227-1+1)))</f>
      </c>
      <c r="Q227" s="82" t="str">
        <f t="shared" si="18"/>
      </c>
      <c r="R227" s="80"/>
      <c r="S227" s="81" t="str">
        <f t="shared" si="16"/>
      </c>
      <c r="T227" s="81" t="str">
        <f>IF(S227="","",J227/(POWER(1+'Oneri mensili'!$C$8,$B227-1+1)))</f>
      </c>
      <c r="U227" s="83" t="str">
        <f t="shared" si="19"/>
      </c>
      <c r="V227" s="81" t="str">
        <f>IF($B227="","",K227/(POWER(1+'Oneri mensili'!$C$8,$B227-1+1)))</f>
      </c>
      <c r="W227" s="80"/>
    </row>
    <row r="228" spans="1:23" s="85" customFormat="1">
      <c r="A228" s="76"/>
      <c r="B228" s="77" t="str">
        <f>IF($B227="","",IF($B227+1&gt;'Oneri mensili'!$C$4,"",Schema!B227+1))</f>
      </c>
      <c r="C228" s="78" t="str">
        <f>IF($B227="","",IF($B227+1&gt;'Oneri mensili'!$C$4,"",EOMONTH(C227,0)+1))</f>
      </c>
      <c r="D228" s="76"/>
      <c r="E228" s="78" t="str">
        <f>IF($B227="","",IF($B227+1&gt;'Oneri mensili'!$C$4,"",F227+1))</f>
      </c>
      <c r="F228" s="78" t="str">
        <f>IF($B227="","",IF($B227+1&gt;'Oneri mensili'!$C$4,"",EOMONTH(E228,0)))</f>
      </c>
      <c r="G228" s="79" t="str">
        <f>IF($B227="","",IF($B227+1&gt;'Oneri mensili'!$C$4,"",(F228-E228)+1)/DAY(F228))</f>
      </c>
      <c r="H228" s="80"/>
      <c r="I228" s="81" t="str">
        <f>IF($B227="","",IF($B227+1&gt;'Oneri mensili'!$C$4,"",I227-J227))</f>
      </c>
      <c r="J228" s="81" t="str">
        <f>IF($B227="","",IF($B227+1&gt;'Oneri mensili'!$C$4,"",IF(B227&lt;'Oneri mensili'!$C$11-1,0,IF('Oneri mensili'!$C$10=dropdowns!$B$186,'Oneri mensili'!$J$3,IF('Oneri mensili'!$C$10=dropdowns!$B$185,IFERROR('Oneri mensili'!$J$3-K228,0),0)))))</f>
      </c>
      <c r="K228" s="81" t="str">
        <f>IF($B227="","",IF($B227+1&gt;'Oneri mensili'!$C$4,"",G228*I228*'Oneri mensili'!$C$8))</f>
      </c>
      <c r="L228" s="81" t="str">
        <f t="shared" si="17"/>
      </c>
      <c r="M228" s="81" t="str">
        <f t="shared" si="15"/>
      </c>
      <c r="N228" s="80"/>
      <c r="O228" s="82" t="str">
        <f>IF($B228="","",'Oneri mensili'!$C$8)</f>
      </c>
      <c r="P228" s="82" t="str">
        <f>IF($B228="","",'Oneri mensili'!$C$8*(POWER(1+'Oneri mensili'!$C$8,$B228-1+1)))</f>
      </c>
      <c r="Q228" s="82" t="str">
        <f t="shared" si="18"/>
      </c>
      <c r="R228" s="80"/>
      <c r="S228" s="81" t="str">
        <f t="shared" si="16"/>
      </c>
      <c r="T228" s="81" t="str">
        <f>IF(S228="","",J228/(POWER(1+'Oneri mensili'!$C$8,$B228-1+1)))</f>
      </c>
      <c r="U228" s="83" t="str">
        <f t="shared" si="19"/>
      </c>
      <c r="V228" s="81" t="str">
        <f>IF($B228="","",K228/(POWER(1+'Oneri mensili'!$C$8,$B228-1+1)))</f>
      </c>
      <c r="W228" s="80"/>
    </row>
    <row r="229" spans="1:23" s="85" customFormat="1">
      <c r="A229" s="76"/>
      <c r="B229" s="77" t="str">
        <f>IF($B228="","",IF($B228+1&gt;'Oneri mensili'!$C$4,"",Schema!B228+1))</f>
      </c>
      <c r="C229" s="78" t="str">
        <f>IF($B228="","",IF($B228+1&gt;'Oneri mensili'!$C$4,"",EOMONTH(C228,0)+1))</f>
      </c>
      <c r="D229" s="76"/>
      <c r="E229" s="78" t="str">
        <f>IF($B228="","",IF($B228+1&gt;'Oneri mensili'!$C$4,"",F228+1))</f>
      </c>
      <c r="F229" s="78" t="str">
        <f>IF($B228="","",IF($B228+1&gt;'Oneri mensili'!$C$4,"",EOMONTH(E229,0)))</f>
      </c>
      <c r="G229" s="79" t="str">
        <f>IF($B228="","",IF($B228+1&gt;'Oneri mensili'!$C$4,"",(F229-E229)+1)/DAY(F229))</f>
      </c>
      <c r="H229" s="80"/>
      <c r="I229" s="81" t="str">
        <f>IF($B228="","",IF($B228+1&gt;'Oneri mensili'!$C$4,"",I228-J228))</f>
      </c>
      <c r="J229" s="81" t="str">
        <f>IF($B228="","",IF($B228+1&gt;'Oneri mensili'!$C$4,"",IF(B228&lt;'Oneri mensili'!$C$11-1,0,IF('Oneri mensili'!$C$10=dropdowns!$B$186,'Oneri mensili'!$J$3,IF('Oneri mensili'!$C$10=dropdowns!$B$185,IFERROR('Oneri mensili'!$J$3-K229,0),0)))))</f>
      </c>
      <c r="K229" s="81" t="str">
        <f>IF($B228="","",IF($B228+1&gt;'Oneri mensili'!$C$4,"",G229*I229*'Oneri mensili'!$C$8))</f>
      </c>
      <c r="L229" s="81" t="str">
        <f t="shared" si="17"/>
      </c>
      <c r="M229" s="81" t="str">
        <f t="shared" si="15"/>
      </c>
      <c r="N229" s="80"/>
      <c r="O229" s="82" t="str">
        <f>IF($B229="","",'Oneri mensili'!$C$8)</f>
      </c>
      <c r="P229" s="82" t="str">
        <f>IF($B229="","",'Oneri mensili'!$C$8*(POWER(1+'Oneri mensili'!$C$8,$B229-1+1)))</f>
      </c>
      <c r="Q229" s="82" t="str">
        <f t="shared" si="18"/>
      </c>
      <c r="R229" s="80"/>
      <c r="S229" s="81" t="str">
        <f t="shared" si="16"/>
      </c>
      <c r="T229" s="81" t="str">
        <f>IF(S229="","",J229/(POWER(1+'Oneri mensili'!$C$8,$B229-1+1)))</f>
      </c>
      <c r="U229" s="83" t="str">
        <f t="shared" si="19"/>
      </c>
      <c r="V229" s="81" t="str">
        <f>IF($B229="","",K229/(POWER(1+'Oneri mensili'!$C$8,$B229-1+1)))</f>
      </c>
      <c r="W229" s="80"/>
    </row>
    <row r="230" spans="1:23" s="85" customFormat="1">
      <c r="A230" s="76"/>
      <c r="B230" s="77" t="str">
        <f>IF($B229="","",IF($B229+1&gt;'Oneri mensili'!$C$4,"",Schema!B229+1))</f>
      </c>
      <c r="C230" s="78" t="str">
        <f>IF($B229="","",IF($B229+1&gt;'Oneri mensili'!$C$4,"",EOMONTH(C229,0)+1))</f>
      </c>
      <c r="D230" s="76"/>
      <c r="E230" s="78" t="str">
        <f>IF($B229="","",IF($B229+1&gt;'Oneri mensili'!$C$4,"",F229+1))</f>
      </c>
      <c r="F230" s="78" t="str">
        <f>IF($B229="","",IF($B229+1&gt;'Oneri mensili'!$C$4,"",EOMONTH(E230,0)))</f>
      </c>
      <c r="G230" s="79" t="str">
        <f>IF($B229="","",IF($B229+1&gt;'Oneri mensili'!$C$4,"",(F230-E230)+1)/DAY(F230))</f>
      </c>
      <c r="H230" s="80"/>
      <c r="I230" s="81" t="str">
        <f>IF($B229="","",IF($B229+1&gt;'Oneri mensili'!$C$4,"",I229-J229))</f>
      </c>
      <c r="J230" s="81" t="str">
        <f>IF($B229="","",IF($B229+1&gt;'Oneri mensili'!$C$4,"",IF(B229&lt;'Oneri mensili'!$C$11-1,0,IF('Oneri mensili'!$C$10=dropdowns!$B$186,'Oneri mensili'!$J$3,IF('Oneri mensili'!$C$10=dropdowns!$B$185,IFERROR('Oneri mensili'!$J$3-K230,0),0)))))</f>
      </c>
      <c r="K230" s="81" t="str">
        <f>IF($B229="","",IF($B229+1&gt;'Oneri mensili'!$C$4,"",G230*I230*'Oneri mensili'!$C$8))</f>
      </c>
      <c r="L230" s="81" t="str">
        <f t="shared" si="17"/>
      </c>
      <c r="M230" s="81" t="str">
        <f t="shared" si="15"/>
      </c>
      <c r="N230" s="80"/>
      <c r="O230" s="82" t="str">
        <f>IF($B230="","",'Oneri mensili'!$C$8)</f>
      </c>
      <c r="P230" s="82" t="str">
        <f>IF($B230="","",'Oneri mensili'!$C$8*(POWER(1+'Oneri mensili'!$C$8,$B230-1+1)))</f>
      </c>
      <c r="Q230" s="82" t="str">
        <f t="shared" si="18"/>
      </c>
      <c r="R230" s="80"/>
      <c r="S230" s="81" t="str">
        <f t="shared" si="16"/>
      </c>
      <c r="T230" s="81" t="str">
        <f>IF(S230="","",J230/(POWER(1+'Oneri mensili'!$C$8,$B230-1+1)))</f>
      </c>
      <c r="U230" s="83" t="str">
        <f t="shared" si="19"/>
      </c>
      <c r="V230" s="81" t="str">
        <f>IF($B230="","",K230/(POWER(1+'Oneri mensili'!$C$8,$B230-1+1)))</f>
      </c>
      <c r="W230" s="80"/>
    </row>
    <row r="231" spans="1:23" s="85" customFormat="1">
      <c r="A231" s="76"/>
      <c r="B231" s="77" t="str">
        <f>IF($B230="","",IF($B230+1&gt;'Oneri mensili'!$C$4,"",Schema!B230+1))</f>
      </c>
      <c r="C231" s="78" t="str">
        <f>IF($B230="","",IF($B230+1&gt;'Oneri mensili'!$C$4,"",EOMONTH(C230,0)+1))</f>
      </c>
      <c r="D231" s="76"/>
      <c r="E231" s="78" t="str">
        <f>IF($B230="","",IF($B230+1&gt;'Oneri mensili'!$C$4,"",F230+1))</f>
      </c>
      <c r="F231" s="78" t="str">
        <f>IF($B230="","",IF($B230+1&gt;'Oneri mensili'!$C$4,"",EOMONTH(E231,0)))</f>
      </c>
      <c r="G231" s="79" t="str">
        <f>IF($B230="","",IF($B230+1&gt;'Oneri mensili'!$C$4,"",(F231-E231)+1)/DAY(F231))</f>
      </c>
      <c r="H231" s="80"/>
      <c r="I231" s="81" t="str">
        <f>IF($B230="","",IF($B230+1&gt;'Oneri mensili'!$C$4,"",I230-J230))</f>
      </c>
      <c r="J231" s="81" t="str">
        <f>IF($B230="","",IF($B230+1&gt;'Oneri mensili'!$C$4,"",IF(B230&lt;'Oneri mensili'!$C$11-1,0,IF('Oneri mensili'!$C$10=dropdowns!$B$186,'Oneri mensili'!$J$3,IF('Oneri mensili'!$C$10=dropdowns!$B$185,IFERROR('Oneri mensili'!$J$3-K231,0),0)))))</f>
      </c>
      <c r="K231" s="81" t="str">
        <f>IF($B230="","",IF($B230+1&gt;'Oneri mensili'!$C$4,"",G231*I231*'Oneri mensili'!$C$8))</f>
      </c>
      <c r="L231" s="81" t="str">
        <f t="shared" si="17"/>
      </c>
      <c r="M231" s="81" t="str">
        <f t="shared" si="15"/>
      </c>
      <c r="N231" s="80"/>
      <c r="O231" s="82" t="str">
        <f>IF($B231="","",'Oneri mensili'!$C$8)</f>
      </c>
      <c r="P231" s="82" t="str">
        <f>IF($B231="","",'Oneri mensili'!$C$8*(POWER(1+'Oneri mensili'!$C$8,$B231-1+1)))</f>
      </c>
      <c r="Q231" s="82" t="str">
        <f t="shared" si="18"/>
      </c>
      <c r="R231" s="80"/>
      <c r="S231" s="81" t="str">
        <f t="shared" si="16"/>
      </c>
      <c r="T231" s="81" t="str">
        <f>IF(S231="","",J231/(POWER(1+'Oneri mensili'!$C$8,$B231-1+1)))</f>
      </c>
      <c r="U231" s="83" t="str">
        <f t="shared" si="19"/>
      </c>
      <c r="V231" s="81" t="str">
        <f>IF($B231="","",K231/(POWER(1+'Oneri mensili'!$C$8,$B231-1+1)))</f>
      </c>
      <c r="W231" s="80"/>
    </row>
    <row r="232" spans="1:23" s="85" customFormat="1">
      <c r="A232" s="76"/>
      <c r="B232" s="77" t="str">
        <f>IF($B231="","",IF($B231+1&gt;'Oneri mensili'!$C$4,"",Schema!B231+1))</f>
      </c>
      <c r="C232" s="78" t="str">
        <f>IF($B231="","",IF($B231+1&gt;'Oneri mensili'!$C$4,"",EOMONTH(C231,0)+1))</f>
      </c>
      <c r="D232" s="76"/>
      <c r="E232" s="78" t="str">
        <f>IF($B231="","",IF($B231+1&gt;'Oneri mensili'!$C$4,"",F231+1))</f>
      </c>
      <c r="F232" s="78" t="str">
        <f>IF($B231="","",IF($B231+1&gt;'Oneri mensili'!$C$4,"",EOMONTH(E232,0)))</f>
      </c>
      <c r="G232" s="79" t="str">
        <f>IF($B231="","",IF($B231+1&gt;'Oneri mensili'!$C$4,"",(F232-E232)+1)/DAY(F232))</f>
      </c>
      <c r="H232" s="80"/>
      <c r="I232" s="81" t="str">
        <f>IF($B231="","",IF($B231+1&gt;'Oneri mensili'!$C$4,"",I231-J231))</f>
      </c>
      <c r="J232" s="81" t="str">
        <f>IF($B231="","",IF($B231+1&gt;'Oneri mensili'!$C$4,"",IF(B231&lt;'Oneri mensili'!$C$11-1,0,IF('Oneri mensili'!$C$10=dropdowns!$B$186,'Oneri mensili'!$J$3,IF('Oneri mensili'!$C$10=dropdowns!$B$185,IFERROR('Oneri mensili'!$J$3-K232,0),0)))))</f>
      </c>
      <c r="K232" s="81" t="str">
        <f>IF($B231="","",IF($B231+1&gt;'Oneri mensili'!$C$4,"",G232*I232*'Oneri mensili'!$C$8))</f>
      </c>
      <c r="L232" s="81" t="str">
        <f t="shared" si="17"/>
      </c>
      <c r="M232" s="81" t="str">
        <f t="shared" si="15"/>
      </c>
      <c r="N232" s="80"/>
      <c r="O232" s="82" t="str">
        <f>IF($B232="","",'Oneri mensili'!$C$8)</f>
      </c>
      <c r="P232" s="82" t="str">
        <f>IF($B232="","",'Oneri mensili'!$C$8*(POWER(1+'Oneri mensili'!$C$8,$B232-1+1)))</f>
      </c>
      <c r="Q232" s="82" t="str">
        <f t="shared" si="18"/>
      </c>
      <c r="R232" s="80"/>
      <c r="S232" s="81" t="str">
        <f t="shared" si="16"/>
      </c>
      <c r="T232" s="81" t="str">
        <f>IF(S232="","",J232/(POWER(1+'Oneri mensili'!$C$8,$B232-1+1)))</f>
      </c>
      <c r="U232" s="83" t="str">
        <f t="shared" si="19"/>
      </c>
      <c r="V232" s="81" t="str">
        <f>IF($B232="","",K232/(POWER(1+'Oneri mensili'!$C$8,$B232-1+1)))</f>
      </c>
      <c r="W232" s="80"/>
    </row>
    <row r="233" spans="1:23" s="85" customFormat="1">
      <c r="A233" s="76"/>
      <c r="B233" s="77" t="str">
        <f>IF($B232="","",IF($B232+1&gt;'Oneri mensili'!$C$4,"",Schema!B232+1))</f>
      </c>
      <c r="C233" s="78" t="str">
        <f>IF($B232="","",IF($B232+1&gt;'Oneri mensili'!$C$4,"",EOMONTH(C232,0)+1))</f>
      </c>
      <c r="D233" s="76"/>
      <c r="E233" s="78" t="str">
        <f>IF($B232="","",IF($B232+1&gt;'Oneri mensili'!$C$4,"",F232+1))</f>
      </c>
      <c r="F233" s="78" t="str">
        <f>IF($B232="","",IF($B232+1&gt;'Oneri mensili'!$C$4,"",EOMONTH(E233,0)))</f>
      </c>
      <c r="G233" s="79" t="str">
        <f>IF($B232="","",IF($B232+1&gt;'Oneri mensili'!$C$4,"",(F233-E233)+1)/DAY(F233))</f>
      </c>
      <c r="H233" s="80"/>
      <c r="I233" s="81" t="str">
        <f>IF($B232="","",IF($B232+1&gt;'Oneri mensili'!$C$4,"",I232-J232))</f>
      </c>
      <c r="J233" s="81" t="str">
        <f>IF($B232="","",IF($B232+1&gt;'Oneri mensili'!$C$4,"",IF(B232&lt;'Oneri mensili'!$C$11-1,0,IF('Oneri mensili'!$C$10=dropdowns!$B$186,'Oneri mensili'!$J$3,IF('Oneri mensili'!$C$10=dropdowns!$B$185,IFERROR('Oneri mensili'!$J$3-K233,0),0)))))</f>
      </c>
      <c r="K233" s="81" t="str">
        <f>IF($B232="","",IF($B232+1&gt;'Oneri mensili'!$C$4,"",G233*I233*'Oneri mensili'!$C$8))</f>
      </c>
      <c r="L233" s="81" t="str">
        <f t="shared" si="17"/>
      </c>
      <c r="M233" s="81" t="str">
        <f t="shared" si="15"/>
      </c>
      <c r="N233" s="80"/>
      <c r="O233" s="82" t="str">
        <f>IF($B233="","",'Oneri mensili'!$C$8)</f>
      </c>
      <c r="P233" s="82" t="str">
        <f>IF($B233="","",'Oneri mensili'!$C$8*(POWER(1+'Oneri mensili'!$C$8,$B233-1+1)))</f>
      </c>
      <c r="Q233" s="82" t="str">
        <f t="shared" si="18"/>
      </c>
      <c r="R233" s="80"/>
      <c r="S233" s="81" t="str">
        <f t="shared" si="16"/>
      </c>
      <c r="T233" s="81" t="str">
        <f>IF(S233="","",J233/(POWER(1+'Oneri mensili'!$C$8,$B233-1+1)))</f>
      </c>
      <c r="U233" s="83" t="str">
        <f t="shared" si="19"/>
      </c>
      <c r="V233" s="81" t="str">
        <f>IF($B233="","",K233/(POWER(1+'Oneri mensili'!$C$8,$B233-1+1)))</f>
      </c>
      <c r="W233" s="80"/>
    </row>
    <row r="234" spans="1:23" s="85" customFormat="1">
      <c r="A234" s="76"/>
      <c r="B234" s="77" t="str">
        <f>IF($B233="","",IF($B233+1&gt;'Oneri mensili'!$C$4,"",Schema!B233+1))</f>
      </c>
      <c r="C234" s="78" t="str">
        <f>IF($B233="","",IF($B233+1&gt;'Oneri mensili'!$C$4,"",EOMONTH(C233,0)+1))</f>
      </c>
      <c r="D234" s="76"/>
      <c r="E234" s="78" t="str">
        <f>IF($B233="","",IF($B233+1&gt;'Oneri mensili'!$C$4,"",F233+1))</f>
      </c>
      <c r="F234" s="78" t="str">
        <f>IF($B233="","",IF($B233+1&gt;'Oneri mensili'!$C$4,"",EOMONTH(E234,0)))</f>
      </c>
      <c r="G234" s="79" t="str">
        <f>IF($B233="","",IF($B233+1&gt;'Oneri mensili'!$C$4,"",(F234-E234)+1)/DAY(F234))</f>
      </c>
      <c r="H234" s="80"/>
      <c r="I234" s="81" t="str">
        <f>IF($B233="","",IF($B233+1&gt;'Oneri mensili'!$C$4,"",I233-J233))</f>
      </c>
      <c r="J234" s="81" t="str">
        <f>IF($B233="","",IF($B233+1&gt;'Oneri mensili'!$C$4,"",IF(B233&lt;'Oneri mensili'!$C$11-1,0,IF('Oneri mensili'!$C$10=dropdowns!$B$186,'Oneri mensili'!$J$3,IF('Oneri mensili'!$C$10=dropdowns!$B$185,IFERROR('Oneri mensili'!$J$3-K234,0),0)))))</f>
      </c>
      <c r="K234" s="81" t="str">
        <f>IF($B233="","",IF($B233+1&gt;'Oneri mensili'!$C$4,"",G234*I234*'Oneri mensili'!$C$8))</f>
      </c>
      <c r="L234" s="81" t="str">
        <f t="shared" si="17"/>
      </c>
      <c r="M234" s="81" t="str">
        <f t="shared" si="15"/>
      </c>
      <c r="N234" s="80"/>
      <c r="O234" s="82" t="str">
        <f>IF($B234="","",'Oneri mensili'!$C$8)</f>
      </c>
      <c r="P234" s="82" t="str">
        <f>IF($B234="","",'Oneri mensili'!$C$8*(POWER(1+'Oneri mensili'!$C$8,$B234-1+1)))</f>
      </c>
      <c r="Q234" s="82" t="str">
        <f t="shared" si="18"/>
      </c>
      <c r="R234" s="80"/>
      <c r="S234" s="81" t="str">
        <f t="shared" si="16"/>
      </c>
      <c r="T234" s="81" t="str">
        <f>IF(S234="","",J234/(POWER(1+'Oneri mensili'!$C$8,$B234-1+1)))</f>
      </c>
      <c r="U234" s="83" t="str">
        <f t="shared" si="19"/>
      </c>
      <c r="V234" s="81" t="str">
        <f>IF($B234="","",K234/(POWER(1+'Oneri mensili'!$C$8,$B234-1+1)))</f>
      </c>
      <c r="W234" s="80"/>
    </row>
    <row r="235" spans="1:23" s="85" customFormat="1">
      <c r="A235" s="76"/>
      <c r="B235" s="77" t="str">
        <f>IF($B234="","",IF($B234+1&gt;'Oneri mensili'!$C$4,"",Schema!B234+1))</f>
      </c>
      <c r="C235" s="78" t="str">
        <f>IF($B234="","",IF($B234+1&gt;'Oneri mensili'!$C$4,"",EOMONTH(C234,0)+1))</f>
      </c>
      <c r="D235" s="76"/>
      <c r="E235" s="78" t="str">
        <f>IF($B234="","",IF($B234+1&gt;'Oneri mensili'!$C$4,"",F234+1))</f>
      </c>
      <c r="F235" s="78" t="str">
        <f>IF($B234="","",IF($B234+1&gt;'Oneri mensili'!$C$4,"",EOMONTH(E235,0)))</f>
      </c>
      <c r="G235" s="79" t="str">
        <f>IF($B234="","",IF($B234+1&gt;'Oneri mensili'!$C$4,"",(F235-E235)+1)/DAY(F235))</f>
      </c>
      <c r="H235" s="80"/>
      <c r="I235" s="81" t="str">
        <f>IF($B234="","",IF($B234+1&gt;'Oneri mensili'!$C$4,"",I234-J234))</f>
      </c>
      <c r="J235" s="81" t="str">
        <f>IF($B234="","",IF($B234+1&gt;'Oneri mensili'!$C$4,"",IF(B234&lt;'Oneri mensili'!$C$11-1,0,IF('Oneri mensili'!$C$10=dropdowns!$B$186,'Oneri mensili'!$J$3,IF('Oneri mensili'!$C$10=dropdowns!$B$185,IFERROR('Oneri mensili'!$J$3-K235,0),0)))))</f>
      </c>
      <c r="K235" s="81" t="str">
        <f>IF($B234="","",IF($B234+1&gt;'Oneri mensili'!$C$4,"",G235*I235*'Oneri mensili'!$C$8))</f>
      </c>
      <c r="L235" s="81" t="str">
        <f t="shared" si="17"/>
      </c>
      <c r="M235" s="81" t="str">
        <f t="shared" si="15"/>
      </c>
      <c r="N235" s="80"/>
      <c r="O235" s="82" t="str">
        <f>IF($B235="","",'Oneri mensili'!$C$8)</f>
      </c>
      <c r="P235" s="82" t="str">
        <f>IF($B235="","",'Oneri mensili'!$C$8*(POWER(1+'Oneri mensili'!$C$8,$B235-1+1)))</f>
      </c>
      <c r="Q235" s="82" t="str">
        <f t="shared" si="18"/>
      </c>
      <c r="R235" s="80"/>
      <c r="S235" s="81" t="str">
        <f t="shared" si="16"/>
      </c>
      <c r="T235" s="81" t="str">
        <f>IF(S235="","",J235/(POWER(1+'Oneri mensili'!$C$8,$B235-1+1)))</f>
      </c>
      <c r="U235" s="83" t="str">
        <f t="shared" si="19"/>
      </c>
      <c r="V235" s="81" t="str">
        <f>IF($B235="","",K235/(POWER(1+'Oneri mensili'!$C$8,$B235-1+1)))</f>
      </c>
      <c r="W235" s="80"/>
    </row>
    <row r="236" spans="1:23" s="85" customFormat="1">
      <c r="A236" s="76"/>
      <c r="B236" s="77" t="str">
        <f>IF($B235="","",IF($B235+1&gt;'Oneri mensili'!$C$4,"",Schema!B235+1))</f>
      </c>
      <c r="C236" s="78" t="str">
        <f>IF($B235="","",IF($B235+1&gt;'Oneri mensili'!$C$4,"",EOMONTH(C235,0)+1))</f>
      </c>
      <c r="D236" s="76"/>
      <c r="E236" s="78" t="str">
        <f>IF($B235="","",IF($B235+1&gt;'Oneri mensili'!$C$4,"",F235+1))</f>
      </c>
      <c r="F236" s="78" t="str">
        <f>IF($B235="","",IF($B235+1&gt;'Oneri mensili'!$C$4,"",EOMONTH(E236,0)))</f>
      </c>
      <c r="G236" s="79" t="str">
        <f>IF($B235="","",IF($B235+1&gt;'Oneri mensili'!$C$4,"",(F236-E236)+1)/DAY(F236))</f>
      </c>
      <c r="H236" s="80"/>
      <c r="I236" s="81" t="str">
        <f>IF($B235="","",IF($B235+1&gt;'Oneri mensili'!$C$4,"",I235-J235))</f>
      </c>
      <c r="J236" s="81" t="str">
        <f>IF($B235="","",IF($B235+1&gt;'Oneri mensili'!$C$4,"",IF(B235&lt;'Oneri mensili'!$C$11-1,0,IF('Oneri mensili'!$C$10=dropdowns!$B$186,'Oneri mensili'!$J$3,IF('Oneri mensili'!$C$10=dropdowns!$B$185,IFERROR('Oneri mensili'!$J$3-K236,0),0)))))</f>
      </c>
      <c r="K236" s="81" t="str">
        <f>IF($B235="","",IF($B235+1&gt;'Oneri mensili'!$C$4,"",G236*I236*'Oneri mensili'!$C$8))</f>
      </c>
      <c r="L236" s="81" t="str">
        <f t="shared" si="17"/>
      </c>
      <c r="M236" s="81" t="str">
        <f t="shared" si="15"/>
      </c>
      <c r="N236" s="80"/>
      <c r="O236" s="82" t="str">
        <f>IF($B236="","",'Oneri mensili'!$C$8)</f>
      </c>
      <c r="P236" s="82" t="str">
        <f>IF($B236="","",'Oneri mensili'!$C$8*(POWER(1+'Oneri mensili'!$C$8,$B236-1+1)))</f>
      </c>
      <c r="Q236" s="82" t="str">
        <f t="shared" si="18"/>
      </c>
      <c r="R236" s="80"/>
      <c r="S236" s="81" t="str">
        <f t="shared" si="16"/>
      </c>
      <c r="T236" s="81" t="str">
        <f>IF(S236="","",J236/(POWER(1+'Oneri mensili'!$C$8,$B236-1+1)))</f>
      </c>
      <c r="U236" s="83" t="str">
        <f t="shared" si="19"/>
      </c>
      <c r="V236" s="81" t="str">
        <f>IF($B236="","",K236/(POWER(1+'Oneri mensili'!$C$8,$B236-1+1)))</f>
      </c>
      <c r="W236" s="80"/>
    </row>
    <row r="237" spans="1:23" s="85" customFormat="1">
      <c r="A237" s="76"/>
      <c r="B237" s="77" t="str">
        <f>IF($B236="","",IF($B236+1&gt;'Oneri mensili'!$C$4,"",Schema!B236+1))</f>
      </c>
      <c r="C237" s="78" t="str">
        <f>IF($B236="","",IF($B236+1&gt;'Oneri mensili'!$C$4,"",EOMONTH(C236,0)+1))</f>
      </c>
      <c r="D237" s="76"/>
      <c r="E237" s="78" t="str">
        <f>IF($B236="","",IF($B236+1&gt;'Oneri mensili'!$C$4,"",F236+1))</f>
      </c>
      <c r="F237" s="78" t="str">
        <f>IF($B236="","",IF($B236+1&gt;'Oneri mensili'!$C$4,"",EOMONTH(E237,0)))</f>
      </c>
      <c r="G237" s="79" t="str">
        <f>IF($B236="","",IF($B236+1&gt;'Oneri mensili'!$C$4,"",(F237-E237)+1)/DAY(F237))</f>
      </c>
      <c r="H237" s="80"/>
      <c r="I237" s="81" t="str">
        <f>IF($B236="","",IF($B236+1&gt;'Oneri mensili'!$C$4,"",I236-J236))</f>
      </c>
      <c r="J237" s="81" t="str">
        <f>IF($B236="","",IF($B236+1&gt;'Oneri mensili'!$C$4,"",IF(B236&lt;'Oneri mensili'!$C$11-1,0,IF('Oneri mensili'!$C$10=dropdowns!$B$186,'Oneri mensili'!$J$3,IF('Oneri mensili'!$C$10=dropdowns!$B$185,IFERROR('Oneri mensili'!$J$3-K237,0),0)))))</f>
      </c>
      <c r="K237" s="81" t="str">
        <f>IF($B236="","",IF($B236+1&gt;'Oneri mensili'!$C$4,"",G237*I237*'Oneri mensili'!$C$8))</f>
      </c>
      <c r="L237" s="81" t="str">
        <f t="shared" si="17"/>
      </c>
      <c r="M237" s="81" t="str">
        <f t="shared" si="15"/>
      </c>
      <c r="N237" s="80"/>
      <c r="O237" s="82" t="str">
        <f>IF($B237="","",'Oneri mensili'!$C$8)</f>
      </c>
      <c r="P237" s="82" t="str">
        <f>IF($B237="","",'Oneri mensili'!$C$8*(POWER(1+'Oneri mensili'!$C$8,$B237-1+1)))</f>
      </c>
      <c r="Q237" s="82" t="str">
        <f t="shared" si="18"/>
      </c>
      <c r="R237" s="80"/>
      <c r="S237" s="81" t="str">
        <f t="shared" si="16"/>
      </c>
      <c r="T237" s="81" t="str">
        <f>IF(S237="","",J237/(POWER(1+'Oneri mensili'!$C$8,$B237-1+1)))</f>
      </c>
      <c r="U237" s="83" t="str">
        <f t="shared" si="19"/>
      </c>
      <c r="V237" s="81" t="str">
        <f>IF($B237="","",K237/(POWER(1+'Oneri mensili'!$C$8,$B237-1+1)))</f>
      </c>
      <c r="W237" s="80"/>
    </row>
    <row r="238" spans="1:23" s="85" customFormat="1">
      <c r="A238" s="76"/>
      <c r="B238" s="77" t="str">
        <f>IF($B237="","",IF($B237+1&gt;'Oneri mensili'!$C$4,"",Schema!B237+1))</f>
      </c>
      <c r="C238" s="78" t="str">
        <f>IF($B237="","",IF($B237+1&gt;'Oneri mensili'!$C$4,"",EOMONTH(C237,0)+1))</f>
      </c>
      <c r="D238" s="76"/>
      <c r="E238" s="78" t="str">
        <f>IF($B237="","",IF($B237+1&gt;'Oneri mensili'!$C$4,"",F237+1))</f>
      </c>
      <c r="F238" s="78" t="str">
        <f>IF($B237="","",IF($B237+1&gt;'Oneri mensili'!$C$4,"",EOMONTH(E238,0)))</f>
      </c>
      <c r="G238" s="79" t="str">
        <f>IF($B237="","",IF($B237+1&gt;'Oneri mensili'!$C$4,"",(F238-E238)+1)/DAY(F238))</f>
      </c>
      <c r="H238" s="80"/>
      <c r="I238" s="81" t="str">
        <f>IF($B237="","",IF($B237+1&gt;'Oneri mensili'!$C$4,"",I237-J237))</f>
      </c>
      <c r="J238" s="81" t="str">
        <f>IF($B237="","",IF($B237+1&gt;'Oneri mensili'!$C$4,"",IF(B237&lt;'Oneri mensili'!$C$11-1,0,IF('Oneri mensili'!$C$10=dropdowns!$B$186,'Oneri mensili'!$J$3,IF('Oneri mensili'!$C$10=dropdowns!$B$185,IFERROR('Oneri mensili'!$J$3-K238,0),0)))))</f>
      </c>
      <c r="K238" s="81" t="str">
        <f>IF($B237="","",IF($B237+1&gt;'Oneri mensili'!$C$4,"",G238*I238*'Oneri mensili'!$C$8))</f>
      </c>
      <c r="L238" s="81" t="str">
        <f t="shared" si="17"/>
      </c>
      <c r="M238" s="81" t="str">
        <f t="shared" si="15"/>
      </c>
      <c r="N238" s="80"/>
      <c r="O238" s="82" t="str">
        <f>IF($B238="","",'Oneri mensili'!$C$8)</f>
      </c>
      <c r="P238" s="82" t="str">
        <f>IF($B238="","",'Oneri mensili'!$C$8*(POWER(1+'Oneri mensili'!$C$8,$B238-1+1)))</f>
      </c>
      <c r="Q238" s="82" t="str">
        <f t="shared" si="18"/>
      </c>
      <c r="R238" s="80"/>
      <c r="S238" s="81" t="str">
        <f t="shared" si="16"/>
      </c>
      <c r="T238" s="81" t="str">
        <f>IF(S238="","",J238/(POWER(1+'Oneri mensili'!$C$8,$B238-1+1)))</f>
      </c>
      <c r="U238" s="83" t="str">
        <f t="shared" si="19"/>
      </c>
      <c r="V238" s="81" t="str">
        <f>IF($B238="","",K238/(POWER(1+'Oneri mensili'!$C$8,$B238-1+1)))</f>
      </c>
      <c r="W238" s="80"/>
    </row>
    <row r="239" spans="1:23" s="85" customFormat="1">
      <c r="A239" s="76"/>
      <c r="B239" s="77" t="str">
        <f>IF($B238="","",IF($B238+1&gt;'Oneri mensili'!$C$4,"",Schema!B238+1))</f>
      </c>
      <c r="C239" s="78" t="str">
        <f>IF($B238="","",IF($B238+1&gt;'Oneri mensili'!$C$4,"",EOMONTH(C238,0)+1))</f>
      </c>
      <c r="D239" s="76"/>
      <c r="E239" s="78" t="str">
        <f>IF($B238="","",IF($B238+1&gt;'Oneri mensili'!$C$4,"",F238+1))</f>
      </c>
      <c r="F239" s="78" t="str">
        <f>IF($B238="","",IF($B238+1&gt;'Oneri mensili'!$C$4,"",EOMONTH(E239,0)))</f>
      </c>
      <c r="G239" s="79" t="str">
        <f>IF($B238="","",IF($B238+1&gt;'Oneri mensili'!$C$4,"",(F239-E239)+1)/DAY(F239))</f>
      </c>
      <c r="H239" s="80"/>
      <c r="I239" s="81" t="str">
        <f>IF($B238="","",IF($B238+1&gt;'Oneri mensili'!$C$4,"",I238-J238))</f>
      </c>
      <c r="J239" s="81" t="str">
        <f>IF($B238="","",IF($B238+1&gt;'Oneri mensili'!$C$4,"",IF(B238&lt;'Oneri mensili'!$C$11-1,0,IF('Oneri mensili'!$C$10=dropdowns!$B$186,'Oneri mensili'!$J$3,IF('Oneri mensili'!$C$10=dropdowns!$B$185,IFERROR('Oneri mensili'!$J$3-K239,0),0)))))</f>
      </c>
      <c r="K239" s="81" t="str">
        <f>IF($B238="","",IF($B238+1&gt;'Oneri mensili'!$C$4,"",G239*I239*'Oneri mensili'!$C$8))</f>
      </c>
      <c r="L239" s="81" t="str">
        <f t="shared" si="17"/>
      </c>
      <c r="M239" s="81" t="str">
        <f t="shared" si="15"/>
      </c>
      <c r="N239" s="80"/>
      <c r="O239" s="82" t="str">
        <f>IF($B239="","",'Oneri mensili'!$C$8)</f>
      </c>
      <c r="P239" s="82" t="str">
        <f>IF($B239="","",'Oneri mensili'!$C$8*(POWER(1+'Oneri mensili'!$C$8,$B239-1+1)))</f>
      </c>
      <c r="Q239" s="82" t="str">
        <f t="shared" si="18"/>
      </c>
      <c r="R239" s="80"/>
      <c r="S239" s="81" t="str">
        <f t="shared" si="16"/>
      </c>
      <c r="T239" s="81" t="str">
        <f>IF(S239="","",J239/(POWER(1+'Oneri mensili'!$C$8,$B239-1+1)))</f>
      </c>
      <c r="U239" s="83" t="str">
        <f t="shared" si="19"/>
      </c>
      <c r="V239" s="81" t="str">
        <f>IF($B239="","",K239/(POWER(1+'Oneri mensili'!$C$8,$B239-1+1)))</f>
      </c>
      <c r="W239" s="80"/>
    </row>
    <row r="240" spans="1:23" s="85" customFormat="1">
      <c r="A240" s="76"/>
      <c r="B240" s="77" t="str">
        <f>IF($B239="","",IF($B239+1&gt;'Oneri mensili'!$C$4,"",Schema!B239+1))</f>
      </c>
      <c r="C240" s="78" t="str">
        <f>IF($B239="","",IF($B239+1&gt;'Oneri mensili'!$C$4,"",EOMONTH(C239,0)+1))</f>
      </c>
      <c r="D240" s="76"/>
      <c r="E240" s="78" t="str">
        <f>IF($B239="","",IF($B239+1&gt;'Oneri mensili'!$C$4,"",F239+1))</f>
      </c>
      <c r="F240" s="78" t="str">
        <f>IF($B239="","",IF($B239+1&gt;'Oneri mensili'!$C$4,"",EOMONTH(E240,0)))</f>
      </c>
      <c r="G240" s="79" t="str">
        <f>IF($B239="","",IF($B239+1&gt;'Oneri mensili'!$C$4,"",(F240-E240)+1)/DAY(F240))</f>
      </c>
      <c r="H240" s="80"/>
      <c r="I240" s="81" t="str">
        <f>IF($B239="","",IF($B239+1&gt;'Oneri mensili'!$C$4,"",I239-J239))</f>
      </c>
      <c r="J240" s="81" t="str">
        <f>IF($B239="","",IF($B239+1&gt;'Oneri mensili'!$C$4,"",IF(B239&lt;'Oneri mensili'!$C$11-1,0,IF('Oneri mensili'!$C$10=dropdowns!$B$186,'Oneri mensili'!$J$3,IF('Oneri mensili'!$C$10=dropdowns!$B$185,IFERROR('Oneri mensili'!$J$3-K240,0),0)))))</f>
      </c>
      <c r="K240" s="81" t="str">
        <f>IF($B239="","",IF($B239+1&gt;'Oneri mensili'!$C$4,"",G240*I240*'Oneri mensili'!$C$8))</f>
      </c>
      <c r="L240" s="81" t="str">
        <f t="shared" si="17"/>
      </c>
      <c r="M240" s="81" t="str">
        <f t="shared" si="15"/>
      </c>
      <c r="N240" s="80"/>
      <c r="O240" s="82" t="str">
        <f>IF($B240="","",'Oneri mensili'!$C$8)</f>
      </c>
      <c r="P240" s="82" t="str">
        <f>IF($B240="","",'Oneri mensili'!$C$8*(POWER(1+'Oneri mensili'!$C$8,$B240-1+1)))</f>
      </c>
      <c r="Q240" s="82" t="str">
        <f t="shared" si="18"/>
      </c>
      <c r="R240" s="80"/>
      <c r="S240" s="81" t="str">
        <f t="shared" si="16"/>
      </c>
      <c r="T240" s="81" t="str">
        <f>IF(S240="","",J240/(POWER(1+'Oneri mensili'!$C$8,$B240-1+1)))</f>
      </c>
      <c r="U240" s="83" t="str">
        <f t="shared" si="19"/>
      </c>
      <c r="V240" s="81" t="str">
        <f>IF($B240="","",K240/(POWER(1+'Oneri mensili'!$C$8,$B240-1+1)))</f>
      </c>
      <c r="W240" s="80"/>
    </row>
    <row r="241" spans="1:23" s="85" customFormat="1">
      <c r="A241" s="76"/>
      <c r="B241" s="77" t="str">
        <f>IF($B240="","",IF($B240+1&gt;'Oneri mensili'!$C$4,"",Schema!B240+1))</f>
      </c>
      <c r="C241" s="78" t="str">
        <f>IF($B240="","",IF($B240+1&gt;'Oneri mensili'!$C$4,"",EOMONTH(C240,0)+1))</f>
      </c>
      <c r="D241" s="76"/>
      <c r="E241" s="78" t="str">
        <f>IF($B240="","",IF($B240+1&gt;'Oneri mensili'!$C$4,"",F240+1))</f>
      </c>
      <c r="F241" s="78" t="str">
        <f>IF($B240="","",IF($B240+1&gt;'Oneri mensili'!$C$4,"",EOMONTH(E241,0)))</f>
      </c>
      <c r="G241" s="79" t="str">
        <f>IF($B240="","",IF($B240+1&gt;'Oneri mensili'!$C$4,"",(F241-E241)+1)/DAY(F241))</f>
      </c>
      <c r="H241" s="80"/>
      <c r="I241" s="81" t="str">
        <f>IF($B240="","",IF($B240+1&gt;'Oneri mensili'!$C$4,"",I240-J240))</f>
      </c>
      <c r="J241" s="81" t="str">
        <f>IF($B240="","",IF($B240+1&gt;'Oneri mensili'!$C$4,"",IF(B240&lt;'Oneri mensili'!$C$11-1,0,IF('Oneri mensili'!$C$10=dropdowns!$B$186,'Oneri mensili'!$J$3,IF('Oneri mensili'!$C$10=dropdowns!$B$185,IFERROR('Oneri mensili'!$J$3-K241,0),0)))))</f>
      </c>
      <c r="K241" s="81" t="str">
        <f>IF($B240="","",IF($B240+1&gt;'Oneri mensili'!$C$4,"",G241*I241*'Oneri mensili'!$C$8))</f>
      </c>
      <c r="L241" s="81" t="str">
        <f t="shared" si="17"/>
      </c>
      <c r="M241" s="81" t="str">
        <f t="shared" si="15"/>
      </c>
      <c r="N241" s="80"/>
      <c r="O241" s="82" t="str">
        <f>IF($B241="","",'Oneri mensili'!$C$8)</f>
      </c>
      <c r="P241" s="82" t="str">
        <f>IF($B241="","",'Oneri mensili'!$C$8*(POWER(1+'Oneri mensili'!$C$8,$B241-1+1)))</f>
      </c>
      <c r="Q241" s="82" t="str">
        <f t="shared" si="18"/>
      </c>
      <c r="R241" s="80"/>
      <c r="S241" s="81" t="str">
        <f t="shared" si="16"/>
      </c>
      <c r="T241" s="81" t="str">
        <f>IF(S241="","",J241/(POWER(1+'Oneri mensili'!$C$8,$B241-1+1)))</f>
      </c>
      <c r="U241" s="83" t="str">
        <f t="shared" si="19"/>
      </c>
      <c r="V241" s="81" t="str">
        <f>IF($B241="","",K241/(POWER(1+'Oneri mensili'!$C$8,$B241-1+1)))</f>
      </c>
      <c r="W241" s="80"/>
    </row>
    <row r="242" spans="1:23" s="85" customFormat="1">
      <c r="A242" s="76"/>
      <c r="B242" s="77" t="str">
        <f>IF($B241="","",IF($B241+1&gt;'Oneri mensili'!$C$4,"",Schema!B241+1))</f>
      </c>
      <c r="C242" s="78" t="str">
        <f>IF($B241="","",IF($B241+1&gt;'Oneri mensili'!$C$4,"",EOMONTH(C241,0)+1))</f>
      </c>
      <c r="D242" s="76"/>
      <c r="E242" s="78" t="str">
        <f>IF($B241="","",IF($B241+1&gt;'Oneri mensili'!$C$4,"",F241+1))</f>
      </c>
      <c r="F242" s="78" t="str">
        <f>IF($B241="","",IF($B241+1&gt;'Oneri mensili'!$C$4,"",EOMONTH(E242,0)))</f>
      </c>
      <c r="G242" s="79" t="str">
        <f>IF($B241="","",IF($B241+1&gt;'Oneri mensili'!$C$4,"",(F242-E242)+1)/DAY(F242))</f>
      </c>
      <c r="H242" s="80"/>
      <c r="I242" s="81" t="str">
        <f>IF($B241="","",IF($B241+1&gt;'Oneri mensili'!$C$4,"",I241-J241))</f>
      </c>
      <c r="J242" s="81" t="str">
        <f>IF($B241="","",IF($B241+1&gt;'Oneri mensili'!$C$4,"",IF(B241&lt;'Oneri mensili'!$C$11-1,0,IF('Oneri mensili'!$C$10=dropdowns!$B$186,'Oneri mensili'!$J$3,IF('Oneri mensili'!$C$10=dropdowns!$B$185,IFERROR('Oneri mensili'!$J$3-K242,0),0)))))</f>
      </c>
      <c r="K242" s="81" t="str">
        <f>IF($B241="","",IF($B241+1&gt;'Oneri mensili'!$C$4,"",G242*I242*'Oneri mensili'!$C$8))</f>
      </c>
      <c r="L242" s="81" t="str">
        <f t="shared" si="17"/>
      </c>
      <c r="M242" s="81" t="str">
        <f t="shared" si="15"/>
      </c>
      <c r="N242" s="80"/>
      <c r="O242" s="82" t="str">
        <f>IF($B242="","",'Oneri mensili'!$C$8)</f>
      </c>
      <c r="P242" s="82" t="str">
        <f>IF($B242="","",'Oneri mensili'!$C$8*(POWER(1+'Oneri mensili'!$C$8,$B242-1+1)))</f>
      </c>
      <c r="Q242" s="82" t="str">
        <f t="shared" si="18"/>
      </c>
      <c r="R242" s="80"/>
      <c r="S242" s="81" t="str">
        <f t="shared" si="16"/>
      </c>
      <c r="T242" s="81" t="str">
        <f>IF(S242="","",J242/(POWER(1+'Oneri mensili'!$C$8,$B242-1+1)))</f>
      </c>
      <c r="U242" s="83" t="str">
        <f t="shared" si="19"/>
      </c>
      <c r="V242" s="81" t="str">
        <f>IF($B242="","",K242/(POWER(1+'Oneri mensili'!$C$8,$B242-1+1)))</f>
      </c>
      <c r="W242" s="80"/>
    </row>
    <row r="243" spans="1:23" s="85" customFormat="1">
      <c r="A243" s="76"/>
      <c r="B243" s="77" t="str">
        <f>IF($B242="","",IF($B242+1&gt;'Oneri mensili'!$C$4,"",Schema!B242+1))</f>
      </c>
      <c r="C243" s="78" t="str">
        <f>IF($B242="","",IF($B242+1&gt;'Oneri mensili'!$C$4,"",EOMONTH(C242,0)+1))</f>
      </c>
      <c r="D243" s="76"/>
      <c r="E243" s="78" t="str">
        <f>IF($B242="","",IF($B242+1&gt;'Oneri mensili'!$C$4,"",F242+1))</f>
      </c>
      <c r="F243" s="78" t="str">
        <f>IF($B242="","",IF($B242+1&gt;'Oneri mensili'!$C$4,"",EOMONTH(E243,0)))</f>
      </c>
      <c r="G243" s="79" t="str">
        <f>IF($B242="","",IF($B242+1&gt;'Oneri mensili'!$C$4,"",(F243-E243)+1)/DAY(F243))</f>
      </c>
      <c r="H243" s="80"/>
      <c r="I243" s="81" t="str">
        <f>IF($B242="","",IF($B242+1&gt;'Oneri mensili'!$C$4,"",I242-J242))</f>
      </c>
      <c r="J243" s="81" t="str">
        <f>IF($B242="","",IF($B242+1&gt;'Oneri mensili'!$C$4,"",IF(B242&lt;'Oneri mensili'!$C$11-1,0,IF('Oneri mensili'!$C$10=dropdowns!$B$186,'Oneri mensili'!$J$3,IF('Oneri mensili'!$C$10=dropdowns!$B$185,IFERROR('Oneri mensili'!$J$3-K243,0),0)))))</f>
      </c>
      <c r="K243" s="81" t="str">
        <f>IF($B242="","",IF($B242+1&gt;'Oneri mensili'!$C$4,"",G243*I243*'Oneri mensili'!$C$8))</f>
      </c>
      <c r="L243" s="81" t="str">
        <f t="shared" si="17"/>
      </c>
      <c r="M243" s="81" t="str">
        <f t="shared" si="15"/>
      </c>
      <c r="N243" s="80"/>
      <c r="O243" s="82" t="str">
        <f>IF($B243="","",'Oneri mensili'!$C$8)</f>
      </c>
      <c r="P243" s="82" t="str">
        <f>IF($B243="","",'Oneri mensili'!$C$8*(POWER(1+'Oneri mensili'!$C$8,$B243-1+1)))</f>
      </c>
      <c r="Q243" s="82" t="str">
        <f t="shared" si="18"/>
      </c>
      <c r="R243" s="80"/>
      <c r="S243" s="81" t="str">
        <f t="shared" si="16"/>
      </c>
      <c r="T243" s="81" t="str">
        <f>IF(S243="","",J243/(POWER(1+'Oneri mensili'!$C$8,$B243-1+1)))</f>
      </c>
      <c r="U243" s="83" t="str">
        <f t="shared" si="19"/>
      </c>
      <c r="V243" s="81" t="str">
        <f>IF($B243="","",K243/(POWER(1+'Oneri mensili'!$C$8,$B243-1+1)))</f>
      </c>
      <c r="W243" s="80"/>
    </row>
    <row r="244" spans="1:23" s="85" customFormat="1">
      <c r="A244" s="76"/>
      <c r="B244" s="77" t="str">
        <f>IF($B243="","",IF($B243+1&gt;'Oneri mensili'!$C$4,"",Schema!B243+1))</f>
      </c>
      <c r="C244" s="78" t="str">
        <f>IF($B243="","",IF($B243+1&gt;'Oneri mensili'!$C$4,"",EOMONTH(C243,0)+1))</f>
      </c>
      <c r="D244" s="76"/>
      <c r="E244" s="78" t="str">
        <f>IF($B243="","",IF($B243+1&gt;'Oneri mensili'!$C$4,"",F243+1))</f>
      </c>
      <c r="F244" s="78" t="str">
        <f>IF($B243="","",IF($B243+1&gt;'Oneri mensili'!$C$4,"",EOMONTH(E244,0)))</f>
      </c>
      <c r="G244" s="79" t="str">
        <f>IF($B243="","",IF($B243+1&gt;'Oneri mensili'!$C$4,"",(F244-E244)+1)/DAY(F244))</f>
      </c>
      <c r="H244" s="80"/>
      <c r="I244" s="81" t="str">
        <f>IF($B243="","",IF($B243+1&gt;'Oneri mensili'!$C$4,"",I243-J243))</f>
      </c>
      <c r="J244" s="81" t="str">
        <f>IF($B243="","",IF($B243+1&gt;'Oneri mensili'!$C$4,"",IF(B243&lt;'Oneri mensili'!$C$11-1,0,IF('Oneri mensili'!$C$10=dropdowns!$B$186,'Oneri mensili'!$J$3,IF('Oneri mensili'!$C$10=dropdowns!$B$185,IFERROR('Oneri mensili'!$J$3-K244,0),0)))))</f>
      </c>
      <c r="K244" s="81" t="str">
        <f>IF($B243="","",IF($B243+1&gt;'Oneri mensili'!$C$4,"",G244*I244*'Oneri mensili'!$C$8))</f>
      </c>
      <c r="L244" s="81" t="str">
        <f t="shared" si="17"/>
      </c>
      <c r="M244" s="81" t="str">
        <f t="shared" si="15"/>
      </c>
      <c r="N244" s="80"/>
      <c r="O244" s="82" t="str">
        <f>IF($B244="","",'Oneri mensili'!$C$8)</f>
      </c>
      <c r="P244" s="82" t="str">
        <f>IF($B244="","",'Oneri mensili'!$C$8*(POWER(1+'Oneri mensili'!$C$8,$B244-1+1)))</f>
      </c>
      <c r="Q244" s="82" t="str">
        <f t="shared" si="18"/>
      </c>
      <c r="R244" s="80"/>
      <c r="S244" s="81" t="str">
        <f t="shared" si="16"/>
      </c>
      <c r="T244" s="81" t="str">
        <f>IF(S244="","",J244/(POWER(1+'Oneri mensili'!$C$8,$B244-1+1)))</f>
      </c>
      <c r="U244" s="83" t="str">
        <f t="shared" si="19"/>
      </c>
      <c r="V244" s="81" t="str">
        <f>IF($B244="","",K244/(POWER(1+'Oneri mensili'!$C$8,$B244-1+1)))</f>
      </c>
      <c r="W244" s="80"/>
    </row>
    <row r="245" spans="1:23" s="85" customFormat="1">
      <c r="A245" s="76"/>
      <c r="B245" s="77" t="str">
        <f>IF($B244="","",IF($B244+1&gt;'Oneri mensili'!$C$4,"",Schema!B244+1))</f>
      </c>
      <c r="C245" s="78" t="str">
        <f>IF($B244="","",IF($B244+1&gt;'Oneri mensili'!$C$4,"",EOMONTH(C244,0)+1))</f>
      </c>
      <c r="D245" s="76"/>
      <c r="E245" s="78" t="str">
        <f>IF($B244="","",IF($B244+1&gt;'Oneri mensili'!$C$4,"",F244+1))</f>
      </c>
      <c r="F245" s="78" t="str">
        <f>IF($B244="","",IF($B244+1&gt;'Oneri mensili'!$C$4,"",EOMONTH(E245,0)))</f>
      </c>
      <c r="G245" s="79" t="str">
        <f>IF($B244="","",IF($B244+1&gt;'Oneri mensili'!$C$4,"",(F245-E245)+1)/DAY(F245))</f>
      </c>
      <c r="H245" s="80"/>
      <c r="I245" s="81" t="str">
        <f>IF($B244="","",IF($B244+1&gt;'Oneri mensili'!$C$4,"",I244-J244))</f>
      </c>
      <c r="J245" s="81" t="str">
        <f>IF($B244="","",IF($B244+1&gt;'Oneri mensili'!$C$4,"",IF(B244&lt;'Oneri mensili'!$C$11-1,0,IF('Oneri mensili'!$C$10=dropdowns!$B$186,'Oneri mensili'!$J$3,IF('Oneri mensili'!$C$10=dropdowns!$B$185,IFERROR('Oneri mensili'!$J$3-K245,0),0)))))</f>
      </c>
      <c r="K245" s="81" t="str">
        <f>IF($B244="","",IF($B244+1&gt;'Oneri mensili'!$C$4,"",G245*I245*'Oneri mensili'!$C$8))</f>
      </c>
      <c r="L245" s="81" t="str">
        <f t="shared" si="17"/>
      </c>
      <c r="M245" s="81" t="str">
        <f t="shared" si="15"/>
      </c>
      <c r="N245" s="80"/>
      <c r="O245" s="82" t="str">
        <f>IF($B245="","",'Oneri mensili'!$C$8)</f>
      </c>
      <c r="P245" s="82" t="str">
        <f>IF($B245="","",'Oneri mensili'!$C$8*(POWER(1+'Oneri mensili'!$C$8,$B245-1+1)))</f>
      </c>
      <c r="Q245" s="82" t="str">
        <f t="shared" si="18"/>
      </c>
      <c r="R245" s="80"/>
      <c r="S245" s="81" t="str">
        <f t="shared" si="16"/>
      </c>
      <c r="T245" s="81" t="str">
        <f>IF(S245="","",J245/(POWER(1+'Oneri mensili'!$C$8,$B245-1+1)))</f>
      </c>
      <c r="U245" s="83" t="str">
        <f t="shared" si="19"/>
      </c>
      <c r="V245" s="81" t="str">
        <f>IF($B245="","",K245/(POWER(1+'Oneri mensili'!$C$8,$B245-1+1)))</f>
      </c>
      <c r="W245" s="80"/>
    </row>
    <row r="246" spans="1:23" s="85" customFormat="1">
      <c r="A246" s="76"/>
      <c r="B246" s="77" t="str">
        <f>IF($B245="","",IF($B245+1&gt;'Oneri mensili'!$C$4,"",Schema!B245+1))</f>
      </c>
      <c r="C246" s="78" t="str">
        <f>IF($B245="","",IF($B245+1&gt;'Oneri mensili'!$C$4,"",EOMONTH(C245,0)+1))</f>
      </c>
      <c r="D246" s="76"/>
      <c r="E246" s="78" t="str">
        <f>IF($B245="","",IF($B245+1&gt;'Oneri mensili'!$C$4,"",F245+1))</f>
      </c>
      <c r="F246" s="78" t="str">
        <f>IF($B245="","",IF($B245+1&gt;'Oneri mensili'!$C$4,"",EOMONTH(E246,0)))</f>
      </c>
      <c r="G246" s="79" t="str">
        <f>IF($B245="","",IF($B245+1&gt;'Oneri mensili'!$C$4,"",(F246-E246)+1)/DAY(F246))</f>
      </c>
      <c r="H246" s="80"/>
      <c r="I246" s="81" t="str">
        <f>IF($B245="","",IF($B245+1&gt;'Oneri mensili'!$C$4,"",I245-J245))</f>
      </c>
      <c r="J246" s="81" t="str">
        <f>IF($B245="","",IF($B245+1&gt;'Oneri mensili'!$C$4,"",IF(B245&lt;'Oneri mensili'!$C$11-1,0,IF('Oneri mensili'!$C$10=dropdowns!$B$186,'Oneri mensili'!$J$3,IF('Oneri mensili'!$C$10=dropdowns!$B$185,IFERROR('Oneri mensili'!$J$3-K246,0),0)))))</f>
      </c>
      <c r="K246" s="81" t="str">
        <f>IF($B245="","",IF($B245+1&gt;'Oneri mensili'!$C$4,"",G246*I246*'Oneri mensili'!$C$8))</f>
      </c>
      <c r="L246" s="81" t="str">
        <f t="shared" si="17"/>
      </c>
      <c r="M246" s="81" t="str">
        <f t="shared" si="15"/>
      </c>
      <c r="N246" s="80"/>
      <c r="O246" s="82" t="str">
        <f>IF($B246="","",'Oneri mensili'!$C$8)</f>
      </c>
      <c r="P246" s="82" t="str">
        <f>IF($B246="","",'Oneri mensili'!$C$8*(POWER(1+'Oneri mensili'!$C$8,$B246-1+1)))</f>
      </c>
      <c r="Q246" s="82" t="str">
        <f t="shared" si="18"/>
      </c>
      <c r="R246" s="80"/>
      <c r="S246" s="81" t="str">
        <f t="shared" si="16"/>
      </c>
      <c r="T246" s="81" t="str">
        <f>IF(S246="","",J246/(POWER(1+'Oneri mensili'!$C$8,$B246-1+1)))</f>
      </c>
      <c r="U246" s="83" t="str">
        <f t="shared" si="19"/>
      </c>
      <c r="V246" s="81" t="str">
        <f>IF($B246="","",K246/(POWER(1+'Oneri mensili'!$C$8,$B246-1+1)))</f>
      </c>
      <c r="W246" s="80"/>
    </row>
    <row r="247" spans="1:23" s="85" customFormat="1">
      <c r="A247" s="76"/>
      <c r="B247" s="77" t="str">
        <f>IF($B246="","",IF($B246+1&gt;'Oneri mensili'!$C$4,"",Schema!B246+1))</f>
      </c>
      <c r="C247" s="78" t="str">
        <f>IF($B246="","",IF($B246+1&gt;'Oneri mensili'!$C$4,"",EOMONTH(C246,0)+1))</f>
      </c>
      <c r="D247" s="76"/>
      <c r="E247" s="78" t="str">
        <f>IF($B246="","",IF($B246+1&gt;'Oneri mensili'!$C$4,"",F246+1))</f>
      </c>
      <c r="F247" s="78" t="str">
        <f>IF($B246="","",IF($B246+1&gt;'Oneri mensili'!$C$4,"",EOMONTH(E247,0)))</f>
      </c>
      <c r="G247" s="79" t="str">
        <f>IF($B246="","",IF($B246+1&gt;'Oneri mensili'!$C$4,"",(F247-E247)+1)/DAY(F247))</f>
      </c>
      <c r="H247" s="80"/>
      <c r="I247" s="81" t="str">
        <f>IF($B246="","",IF($B246+1&gt;'Oneri mensili'!$C$4,"",I246-J246))</f>
      </c>
      <c r="J247" s="81" t="str">
        <f>IF($B246="","",IF($B246+1&gt;'Oneri mensili'!$C$4,"",IF(B246&lt;'Oneri mensili'!$C$11-1,0,IF('Oneri mensili'!$C$10=dropdowns!$B$186,'Oneri mensili'!$J$3,IF('Oneri mensili'!$C$10=dropdowns!$B$185,IFERROR('Oneri mensili'!$J$3-K247,0),0)))))</f>
      </c>
      <c r="K247" s="81" t="str">
        <f>IF($B246="","",IF($B246+1&gt;'Oneri mensili'!$C$4,"",G247*I247*'Oneri mensili'!$C$8))</f>
      </c>
      <c r="L247" s="81" t="str">
        <f t="shared" si="17"/>
      </c>
      <c r="M247" s="81" t="str">
        <f t="shared" si="15"/>
      </c>
      <c r="N247" s="80"/>
      <c r="O247" s="82" t="str">
        <f>IF($B247="","",'Oneri mensili'!$C$8)</f>
      </c>
      <c r="P247" s="82" t="str">
        <f>IF($B247="","",'Oneri mensili'!$C$8*(POWER(1+'Oneri mensili'!$C$8,$B247-1+1)))</f>
      </c>
      <c r="Q247" s="82" t="str">
        <f t="shared" si="18"/>
      </c>
      <c r="R247" s="80"/>
      <c r="S247" s="81" t="str">
        <f t="shared" si="16"/>
      </c>
      <c r="T247" s="81" t="str">
        <f>IF(S247="","",J247/(POWER(1+'Oneri mensili'!$C$8,$B247-1+1)))</f>
      </c>
      <c r="U247" s="83" t="str">
        <f t="shared" si="19"/>
      </c>
      <c r="V247" s="81" t="str">
        <f>IF($B247="","",K247/(POWER(1+'Oneri mensili'!$C$8,$B247-1+1)))</f>
      </c>
      <c r="W247" s="80"/>
    </row>
    <row r="248" spans="1:23" s="85" customFormat="1">
      <c r="A248" s="76"/>
      <c r="B248" s="77" t="str">
        <f>IF($B247="","",IF($B247+1&gt;'Oneri mensili'!$C$4,"",Schema!B247+1))</f>
      </c>
      <c r="C248" s="78" t="str">
        <f>IF($B247="","",IF($B247+1&gt;'Oneri mensili'!$C$4,"",EOMONTH(C247,0)+1))</f>
      </c>
      <c r="D248" s="76"/>
      <c r="E248" s="78" t="str">
        <f>IF($B247="","",IF($B247+1&gt;'Oneri mensili'!$C$4,"",F247+1))</f>
      </c>
      <c r="F248" s="78" t="str">
        <f>IF($B247="","",IF($B247+1&gt;'Oneri mensili'!$C$4,"",EOMONTH(E248,0)))</f>
      </c>
      <c r="G248" s="79" t="str">
        <f>IF($B247="","",IF($B247+1&gt;'Oneri mensili'!$C$4,"",(F248-E248)+1)/DAY(F248))</f>
      </c>
      <c r="H248" s="80"/>
      <c r="I248" s="81" t="str">
        <f>IF($B247="","",IF($B247+1&gt;'Oneri mensili'!$C$4,"",I247-J247))</f>
      </c>
      <c r="J248" s="81" t="str">
        <f>IF($B247="","",IF($B247+1&gt;'Oneri mensili'!$C$4,"",IF(B247&lt;'Oneri mensili'!$C$11-1,0,IF('Oneri mensili'!$C$10=dropdowns!$B$186,'Oneri mensili'!$J$3,IF('Oneri mensili'!$C$10=dropdowns!$B$185,IFERROR('Oneri mensili'!$J$3-K248,0),0)))))</f>
      </c>
      <c r="K248" s="81" t="str">
        <f>IF($B247="","",IF($B247+1&gt;'Oneri mensili'!$C$4,"",G248*I248*'Oneri mensili'!$C$8))</f>
      </c>
      <c r="L248" s="81" t="str">
        <f t="shared" si="17"/>
      </c>
      <c r="M248" s="81" t="str">
        <f t="shared" si="15"/>
      </c>
      <c r="N248" s="80"/>
      <c r="O248" s="82" t="str">
        <f>IF($B248="","",'Oneri mensili'!$C$8)</f>
      </c>
      <c r="P248" s="82" t="str">
        <f>IF($B248="","",'Oneri mensili'!$C$8*(POWER(1+'Oneri mensili'!$C$8,$B248-1+1)))</f>
      </c>
      <c r="Q248" s="82" t="str">
        <f t="shared" si="18"/>
      </c>
      <c r="R248" s="80"/>
      <c r="S248" s="81" t="str">
        <f t="shared" si="16"/>
      </c>
      <c r="T248" s="81" t="str">
        <f>IF(S248="","",J248/(POWER(1+'Oneri mensili'!$C$8,$B248-1+1)))</f>
      </c>
      <c r="U248" s="83" t="str">
        <f t="shared" si="19"/>
      </c>
      <c r="V248" s="81" t="str">
        <f>IF($B248="","",K248/(POWER(1+'Oneri mensili'!$C$8,$B248-1+1)))</f>
      </c>
      <c r="W248" s="80"/>
    </row>
    <row r="249" spans="1:23" s="85" customFormat="1">
      <c r="A249" s="76"/>
      <c r="B249" s="77" t="str">
        <f>IF($B248="","",IF($B248+1&gt;'Oneri mensili'!$C$4,"",Schema!B248+1))</f>
      </c>
      <c r="C249" s="78" t="str">
        <f>IF($B248="","",IF($B248+1&gt;'Oneri mensili'!$C$4,"",EOMONTH(C248,0)+1))</f>
      </c>
      <c r="D249" s="76"/>
      <c r="E249" s="78" t="str">
        <f>IF($B248="","",IF($B248+1&gt;'Oneri mensili'!$C$4,"",F248+1))</f>
      </c>
      <c r="F249" s="78" t="str">
        <f>IF($B248="","",IF($B248+1&gt;'Oneri mensili'!$C$4,"",EOMONTH(E249,0)))</f>
      </c>
      <c r="G249" s="79" t="str">
        <f>IF($B248="","",IF($B248+1&gt;'Oneri mensili'!$C$4,"",(F249-E249)+1)/DAY(F249))</f>
      </c>
      <c r="H249" s="80"/>
      <c r="I249" s="81" t="str">
        <f>IF($B248="","",IF($B248+1&gt;'Oneri mensili'!$C$4,"",I248-J248))</f>
      </c>
      <c r="J249" s="81" t="str">
        <f>IF($B248="","",IF($B248+1&gt;'Oneri mensili'!$C$4,"",IF(B248&lt;'Oneri mensili'!$C$11-1,0,IF('Oneri mensili'!$C$10=dropdowns!$B$186,'Oneri mensili'!$J$3,IF('Oneri mensili'!$C$10=dropdowns!$B$185,IFERROR('Oneri mensili'!$J$3-K249,0),0)))))</f>
      </c>
      <c r="K249" s="81" t="str">
        <f>IF($B248="","",IF($B248+1&gt;'Oneri mensili'!$C$4,"",G249*I249*'Oneri mensili'!$C$8))</f>
      </c>
      <c r="L249" s="81" t="str">
        <f t="shared" si="17"/>
      </c>
      <c r="M249" s="81" t="str">
        <f t="shared" si="15"/>
      </c>
      <c r="N249" s="80"/>
      <c r="O249" s="82" t="str">
        <f>IF($B249="","",'Oneri mensili'!$C$8)</f>
      </c>
      <c r="P249" s="82" t="str">
        <f>IF($B249="","",'Oneri mensili'!$C$8*(POWER(1+'Oneri mensili'!$C$8,$B249-1+1)))</f>
      </c>
      <c r="Q249" s="82" t="str">
        <f t="shared" si="18"/>
      </c>
      <c r="R249" s="80"/>
      <c r="S249" s="81" t="str">
        <f t="shared" si="16"/>
      </c>
      <c r="T249" s="81" t="str">
        <f>IF(S249="","",J249/(POWER(1+'Oneri mensili'!$C$8,$B249-1+1)))</f>
      </c>
      <c r="U249" s="83" t="str">
        <f t="shared" si="19"/>
      </c>
      <c r="V249" s="81" t="str">
        <f>IF($B249="","",K249/(POWER(1+'Oneri mensili'!$C$8,$B249-1+1)))</f>
      </c>
      <c r="W249" s="80"/>
    </row>
    <row r="250" spans="1:23" s="85" customFormat="1">
      <c r="A250" s="76"/>
      <c r="B250" s="77" t="str">
        <f>IF($B249="","",IF($B249+1&gt;'Oneri mensili'!$C$4,"",Schema!B249+1))</f>
      </c>
      <c r="C250" s="78" t="str">
        <f>IF($B249="","",IF($B249+1&gt;'Oneri mensili'!$C$4,"",EOMONTH(C249,0)+1))</f>
      </c>
      <c r="D250" s="76"/>
      <c r="E250" s="78" t="str">
        <f>IF($B249="","",IF($B249+1&gt;'Oneri mensili'!$C$4,"",F249+1))</f>
      </c>
      <c r="F250" s="78" t="str">
        <f>IF($B249="","",IF($B249+1&gt;'Oneri mensili'!$C$4,"",EOMONTH(E250,0)))</f>
      </c>
      <c r="G250" s="79" t="str">
        <f>IF($B249="","",IF($B249+1&gt;'Oneri mensili'!$C$4,"",(F250-E250)+1)/DAY(F250))</f>
      </c>
      <c r="H250" s="80"/>
      <c r="I250" s="81" t="str">
        <f>IF($B249="","",IF($B249+1&gt;'Oneri mensili'!$C$4,"",I249-J249))</f>
      </c>
      <c r="J250" s="81" t="str">
        <f>IF($B249="","",IF($B249+1&gt;'Oneri mensili'!$C$4,"",IF(B249&lt;'Oneri mensili'!$C$11-1,0,IF('Oneri mensili'!$C$10=dropdowns!$B$186,'Oneri mensili'!$J$3,IF('Oneri mensili'!$C$10=dropdowns!$B$185,IFERROR('Oneri mensili'!$J$3-K250,0),0)))))</f>
      </c>
      <c r="K250" s="81" t="str">
        <f>IF($B249="","",IF($B249+1&gt;'Oneri mensili'!$C$4,"",G250*I250*'Oneri mensili'!$C$8))</f>
      </c>
      <c r="L250" s="81" t="str">
        <f t="shared" si="17"/>
      </c>
      <c r="M250" s="81" t="str">
        <f t="shared" si="15"/>
      </c>
      <c r="N250" s="80"/>
      <c r="O250" s="82" t="str">
        <f>IF($B250="","",'Oneri mensili'!$C$8)</f>
      </c>
      <c r="P250" s="82" t="str">
        <f>IF($B250="","",'Oneri mensili'!$C$8*(POWER(1+'Oneri mensili'!$C$8,$B250-1+1)))</f>
      </c>
      <c r="Q250" s="82" t="str">
        <f t="shared" si="18"/>
      </c>
      <c r="R250" s="80"/>
      <c r="S250" s="81" t="str">
        <f t="shared" si="16"/>
      </c>
      <c r="T250" s="81" t="str">
        <f>IF(S250="","",J250/(POWER(1+'Oneri mensili'!$C$8,$B250-1+1)))</f>
      </c>
      <c r="U250" s="83" t="str">
        <f t="shared" si="19"/>
      </c>
      <c r="V250" s="81" t="str">
        <f>IF($B250="","",K250/(POWER(1+'Oneri mensili'!$C$8,$B250-1+1)))</f>
      </c>
      <c r="W250" s="80"/>
    </row>
    <row r="251" spans="1:23" s="85" customFormat="1">
      <c r="A251" s="76"/>
      <c r="B251" s="77" t="str">
        <f>IF($B250="","",IF($B250+1&gt;'Oneri mensili'!$C$4,"",Schema!B250+1))</f>
      </c>
      <c r="C251" s="78" t="str">
        <f>IF($B250="","",IF($B250+1&gt;'Oneri mensili'!$C$4,"",EOMONTH(C250,0)+1))</f>
      </c>
      <c r="D251" s="76"/>
      <c r="E251" s="78" t="str">
        <f>IF($B250="","",IF($B250+1&gt;'Oneri mensili'!$C$4,"",F250+1))</f>
      </c>
      <c r="F251" s="78" t="str">
        <f>IF($B250="","",IF($B250+1&gt;'Oneri mensili'!$C$4,"",EOMONTH(E251,0)))</f>
      </c>
      <c r="G251" s="79" t="str">
        <f>IF($B250="","",IF($B250+1&gt;'Oneri mensili'!$C$4,"",(F251-E251)+1)/DAY(F251))</f>
      </c>
      <c r="H251" s="80"/>
      <c r="I251" s="81" t="str">
        <f>IF($B250="","",IF($B250+1&gt;'Oneri mensili'!$C$4,"",I250-J250))</f>
      </c>
      <c r="J251" s="81" t="str">
        <f>IF($B250="","",IF($B250+1&gt;'Oneri mensili'!$C$4,"",IF(B250&lt;'Oneri mensili'!$C$11-1,0,IF('Oneri mensili'!$C$10=dropdowns!$B$186,'Oneri mensili'!$J$3,IF('Oneri mensili'!$C$10=dropdowns!$B$185,IFERROR('Oneri mensili'!$J$3-K251,0),0)))))</f>
      </c>
      <c r="K251" s="81" t="str">
        <f>IF($B250="","",IF($B250+1&gt;'Oneri mensili'!$C$4,"",G251*I251*'Oneri mensili'!$C$8))</f>
      </c>
      <c r="L251" s="81" t="str">
        <f t="shared" si="17"/>
      </c>
      <c r="M251" s="81" t="str">
        <f t="shared" si="15"/>
      </c>
      <c r="N251" s="80"/>
      <c r="O251" s="82" t="str">
        <f>IF($B251="","",'Oneri mensili'!$C$8)</f>
      </c>
      <c r="P251" s="82" t="str">
        <f>IF($B251="","",'Oneri mensili'!$C$8*(POWER(1+'Oneri mensili'!$C$8,$B251-1+1)))</f>
      </c>
      <c r="Q251" s="82" t="str">
        <f t="shared" si="18"/>
      </c>
      <c r="R251" s="80"/>
      <c r="S251" s="81" t="str">
        <f t="shared" si="16"/>
      </c>
      <c r="T251" s="81" t="str">
        <f>IF(S251="","",J251/(POWER(1+'Oneri mensili'!$C$8,$B251-1+1)))</f>
      </c>
      <c r="U251" s="83" t="str">
        <f t="shared" si="19"/>
      </c>
      <c r="V251" s="81" t="str">
        <f>IF($B251="","",K251/(POWER(1+'Oneri mensili'!$C$8,$B251-1+1)))</f>
      </c>
      <c r="W251" s="80"/>
    </row>
    <row r="252" spans="1:23" s="85" customFormat="1">
      <c r="A252" s="76"/>
      <c r="B252" s="77" t="str">
        <f>IF($B251="","",IF($B251+1&gt;'Oneri mensili'!$C$4,"",Schema!B251+1))</f>
      </c>
      <c r="C252" s="78" t="str">
        <f>IF($B251="","",IF($B251+1&gt;'Oneri mensili'!$C$4,"",EOMONTH(C251,0)+1))</f>
      </c>
      <c r="D252" s="76"/>
      <c r="E252" s="78" t="str">
        <f>IF($B251="","",IF($B251+1&gt;'Oneri mensili'!$C$4,"",F251+1))</f>
      </c>
      <c r="F252" s="78" t="str">
        <f>IF($B251="","",IF($B251+1&gt;'Oneri mensili'!$C$4,"",EOMONTH(E252,0)))</f>
      </c>
      <c r="G252" s="79" t="str">
        <f>IF($B251="","",IF($B251+1&gt;'Oneri mensili'!$C$4,"",(F252-E252)+1)/DAY(F252))</f>
      </c>
      <c r="H252" s="80"/>
      <c r="I252" s="81" t="str">
        <f>IF($B251="","",IF($B251+1&gt;'Oneri mensili'!$C$4,"",I251-J251))</f>
      </c>
      <c r="J252" s="81" t="str">
        <f>IF($B251="","",IF($B251+1&gt;'Oneri mensili'!$C$4,"",IF(B251&lt;'Oneri mensili'!$C$11-1,0,IF('Oneri mensili'!$C$10=dropdowns!$B$186,'Oneri mensili'!$J$3,IF('Oneri mensili'!$C$10=dropdowns!$B$185,IFERROR('Oneri mensili'!$J$3-K252,0),0)))))</f>
      </c>
      <c r="K252" s="81" t="str">
        <f>IF($B251="","",IF($B251+1&gt;'Oneri mensili'!$C$4,"",G252*I252*'Oneri mensili'!$C$8))</f>
      </c>
      <c r="L252" s="81" t="str">
        <f t="shared" si="17"/>
      </c>
      <c r="M252" s="81" t="str">
        <f t="shared" si="15"/>
      </c>
      <c r="N252" s="80"/>
      <c r="O252" s="82" t="str">
        <f>IF($B252="","",'Oneri mensili'!$C$8)</f>
      </c>
      <c r="P252" s="82" t="str">
        <f>IF($B252="","",'Oneri mensili'!$C$8*(POWER(1+'Oneri mensili'!$C$8,$B252-1+1)))</f>
      </c>
      <c r="Q252" s="82" t="str">
        <f t="shared" si="18"/>
      </c>
      <c r="R252" s="80"/>
      <c r="S252" s="81" t="str">
        <f t="shared" si="16"/>
      </c>
      <c r="T252" s="81" t="str">
        <f>IF(S252="","",J252/(POWER(1+'Oneri mensili'!$C$8,$B252-1+1)))</f>
      </c>
      <c r="U252" s="83" t="str">
        <f t="shared" si="19"/>
      </c>
      <c r="V252" s="81" t="str">
        <f>IF($B252="","",K252/(POWER(1+'Oneri mensili'!$C$8,$B252-1+1)))</f>
      </c>
      <c r="W252" s="80"/>
    </row>
    <row r="253" spans="1:23" s="85" customFormat="1">
      <c r="A253" s="76"/>
      <c r="B253" s="77" t="str">
        <f>IF($B252="","",IF($B252+1&gt;'Oneri mensili'!$C$4,"",Schema!B252+1))</f>
      </c>
      <c r="C253" s="78" t="str">
        <f>IF($B252="","",IF($B252+1&gt;'Oneri mensili'!$C$4,"",EOMONTH(C252,0)+1))</f>
      </c>
      <c r="D253" s="76"/>
      <c r="E253" s="78" t="str">
        <f>IF($B252="","",IF($B252+1&gt;'Oneri mensili'!$C$4,"",F252+1))</f>
      </c>
      <c r="F253" s="78" t="str">
        <f>IF($B252="","",IF($B252+1&gt;'Oneri mensili'!$C$4,"",EOMONTH(E253,0)))</f>
      </c>
      <c r="G253" s="79" t="str">
        <f>IF($B252="","",IF($B252+1&gt;'Oneri mensili'!$C$4,"",(F253-E253)+1)/DAY(F253))</f>
      </c>
      <c r="H253" s="80"/>
      <c r="I253" s="81" t="str">
        <f>IF($B252="","",IF($B252+1&gt;'Oneri mensili'!$C$4,"",I252-J252))</f>
      </c>
      <c r="J253" s="81" t="str">
        <f>IF($B252="","",IF($B252+1&gt;'Oneri mensili'!$C$4,"",IF(B252&lt;'Oneri mensili'!$C$11-1,0,IF('Oneri mensili'!$C$10=dropdowns!$B$186,'Oneri mensili'!$J$3,IF('Oneri mensili'!$C$10=dropdowns!$B$185,IFERROR('Oneri mensili'!$J$3-K253,0),0)))))</f>
      </c>
      <c r="K253" s="81" t="str">
        <f>IF($B252="","",IF($B252+1&gt;'Oneri mensili'!$C$4,"",G253*I253*'Oneri mensili'!$C$8))</f>
      </c>
      <c r="L253" s="81" t="str">
        <f t="shared" si="17"/>
      </c>
      <c r="M253" s="81" t="str">
        <f t="shared" si="15"/>
      </c>
      <c r="N253" s="80"/>
      <c r="O253" s="82" t="str">
        <f>IF($B253="","",'Oneri mensili'!$C$8)</f>
      </c>
      <c r="P253" s="82" t="str">
        <f>IF($B253="","",'Oneri mensili'!$C$8*(POWER(1+'Oneri mensili'!$C$8,$B253-1+1)))</f>
      </c>
      <c r="Q253" s="82" t="str">
        <f t="shared" si="18"/>
      </c>
      <c r="R253" s="80"/>
      <c r="S253" s="81" t="str">
        <f t="shared" si="16"/>
      </c>
      <c r="T253" s="81" t="str">
        <f>IF(S253="","",J253/(POWER(1+'Oneri mensili'!$C$8,$B253-1+1)))</f>
      </c>
      <c r="U253" s="83" t="str">
        <f t="shared" si="19"/>
      </c>
      <c r="V253" s="81" t="str">
        <f>IF($B253="","",K253/(POWER(1+'Oneri mensili'!$C$8,$B253-1+1)))</f>
      </c>
      <c r="W253" s="80"/>
    </row>
    <row r="254" spans="1:23" s="85" customFormat="1">
      <c r="A254" s="76"/>
      <c r="B254" s="77" t="str">
        <f>IF($B253="","",IF($B253+1&gt;'Oneri mensili'!$C$4,"",Schema!B253+1))</f>
      </c>
      <c r="C254" s="78" t="str">
        <f>IF($B253="","",IF($B253+1&gt;'Oneri mensili'!$C$4,"",EOMONTH(C253,0)+1))</f>
      </c>
      <c r="D254" s="76"/>
      <c r="E254" s="78" t="str">
        <f>IF($B253="","",IF($B253+1&gt;'Oneri mensili'!$C$4,"",F253+1))</f>
      </c>
      <c r="F254" s="78" t="str">
        <f>IF($B253="","",IF($B253+1&gt;'Oneri mensili'!$C$4,"",EOMONTH(E254,0)))</f>
      </c>
      <c r="G254" s="79" t="str">
        <f>IF($B253="","",IF($B253+1&gt;'Oneri mensili'!$C$4,"",(F254-E254)+1)/DAY(F254))</f>
      </c>
      <c r="H254" s="80"/>
      <c r="I254" s="81" t="str">
        <f>IF($B253="","",IF($B253+1&gt;'Oneri mensili'!$C$4,"",I253-J253))</f>
      </c>
      <c r="J254" s="81" t="str">
        <f>IF($B253="","",IF($B253+1&gt;'Oneri mensili'!$C$4,"",IF(B253&lt;'Oneri mensili'!$C$11-1,0,IF('Oneri mensili'!$C$10=dropdowns!$B$186,'Oneri mensili'!$J$3,IF('Oneri mensili'!$C$10=dropdowns!$B$185,IFERROR('Oneri mensili'!$J$3-K254,0),0)))))</f>
      </c>
      <c r="K254" s="81" t="str">
        <f>IF($B253="","",IF($B253+1&gt;'Oneri mensili'!$C$4,"",G254*I254*'Oneri mensili'!$C$8))</f>
      </c>
      <c r="L254" s="81" t="str">
        <f t="shared" si="17"/>
      </c>
      <c r="M254" s="81" t="str">
        <f t="shared" si="15"/>
      </c>
      <c r="N254" s="80"/>
      <c r="O254" s="82" t="str">
        <f>IF($B254="","",'Oneri mensili'!$C$8)</f>
      </c>
      <c r="P254" s="82" t="str">
        <f>IF($B254="","",'Oneri mensili'!$C$8*(POWER(1+'Oneri mensili'!$C$8,$B254-1+1)))</f>
      </c>
      <c r="Q254" s="82" t="str">
        <f t="shared" si="18"/>
      </c>
      <c r="R254" s="80"/>
      <c r="S254" s="81" t="str">
        <f t="shared" si="16"/>
      </c>
      <c r="T254" s="81" t="str">
        <f>IF(S254="","",J254/(POWER(1+'Oneri mensili'!$C$8,$B254-1+1)))</f>
      </c>
      <c r="U254" s="83" t="str">
        <f t="shared" si="19"/>
      </c>
      <c r="V254" s="81" t="str">
        <f>IF($B254="","",K254/(POWER(1+'Oneri mensili'!$C$8,$B254-1+1)))</f>
      </c>
      <c r="W254" s="80"/>
    </row>
    <row r="255" spans="1:23" s="85" customFormat="1">
      <c r="A255" s="76"/>
      <c r="B255" s="77" t="str">
        <f>IF($B254="","",IF($B254+1&gt;'Oneri mensili'!$C$4,"",Schema!B254+1))</f>
      </c>
      <c r="C255" s="78" t="str">
        <f>IF($B254="","",IF($B254+1&gt;'Oneri mensili'!$C$4,"",EOMONTH(C254,0)+1))</f>
      </c>
      <c r="D255" s="76"/>
      <c r="E255" s="78" t="str">
        <f>IF($B254="","",IF($B254+1&gt;'Oneri mensili'!$C$4,"",F254+1))</f>
      </c>
      <c r="F255" s="78" t="str">
        <f>IF($B254="","",IF($B254+1&gt;'Oneri mensili'!$C$4,"",EOMONTH(E255,0)))</f>
      </c>
      <c r="G255" s="79" t="str">
        <f>IF($B254="","",IF($B254+1&gt;'Oneri mensili'!$C$4,"",(F255-E255)+1)/DAY(F255))</f>
      </c>
      <c r="H255" s="80"/>
      <c r="I255" s="81" t="str">
        <f>IF($B254="","",IF($B254+1&gt;'Oneri mensili'!$C$4,"",I254-J254))</f>
      </c>
      <c r="J255" s="81" t="str">
        <f>IF($B254="","",IF($B254+1&gt;'Oneri mensili'!$C$4,"",IF(B254&lt;'Oneri mensili'!$C$11-1,0,IF('Oneri mensili'!$C$10=dropdowns!$B$186,'Oneri mensili'!$J$3,IF('Oneri mensili'!$C$10=dropdowns!$B$185,IFERROR('Oneri mensili'!$J$3-K255,0),0)))))</f>
      </c>
      <c r="K255" s="81" t="str">
        <f>IF($B254="","",IF($B254+1&gt;'Oneri mensili'!$C$4,"",G255*I255*'Oneri mensili'!$C$8))</f>
      </c>
      <c r="L255" s="81" t="str">
        <f t="shared" si="17"/>
      </c>
      <c r="M255" s="81" t="str">
        <f t="shared" si="15"/>
      </c>
      <c r="N255" s="80"/>
      <c r="O255" s="82" t="str">
        <f>IF($B255="","",'Oneri mensili'!$C$8)</f>
      </c>
      <c r="P255" s="82" t="str">
        <f>IF($B255="","",'Oneri mensili'!$C$8*(POWER(1+'Oneri mensili'!$C$8,$B255-1+1)))</f>
      </c>
      <c r="Q255" s="82" t="str">
        <f t="shared" si="18"/>
      </c>
      <c r="R255" s="80"/>
      <c r="S255" s="81" t="str">
        <f t="shared" si="16"/>
      </c>
      <c r="T255" s="81" t="str">
        <f>IF(S255="","",J255/(POWER(1+'Oneri mensili'!$C$8,$B255-1+1)))</f>
      </c>
      <c r="U255" s="83" t="str">
        <f t="shared" si="19"/>
      </c>
      <c r="V255" s="81" t="str">
        <f>IF($B255="","",K255/(POWER(1+'Oneri mensili'!$C$8,$B255-1+1)))</f>
      </c>
      <c r="W255" s="80"/>
    </row>
    <row r="256" spans="1:23" s="85" customFormat="1">
      <c r="A256" s="76"/>
      <c r="B256" s="77" t="str">
        <f>IF($B255="","",IF($B255+1&gt;'Oneri mensili'!$C$4,"",Schema!B255+1))</f>
      </c>
      <c r="C256" s="78" t="str">
        <f>IF($B255="","",IF($B255+1&gt;'Oneri mensili'!$C$4,"",EOMONTH(C255,0)+1))</f>
      </c>
      <c r="D256" s="76"/>
      <c r="E256" s="78" t="str">
        <f>IF($B255="","",IF($B255+1&gt;'Oneri mensili'!$C$4,"",F255+1))</f>
      </c>
      <c r="F256" s="78" t="str">
        <f>IF($B255="","",IF($B255+1&gt;'Oneri mensili'!$C$4,"",EOMONTH(E256,0)))</f>
      </c>
      <c r="G256" s="79" t="str">
        <f>IF($B255="","",IF($B255+1&gt;'Oneri mensili'!$C$4,"",(F256-E256)+1)/DAY(F256))</f>
      </c>
      <c r="H256" s="80"/>
      <c r="I256" s="81" t="str">
        <f>IF($B255="","",IF($B255+1&gt;'Oneri mensili'!$C$4,"",I255-J255))</f>
      </c>
      <c r="J256" s="81" t="str">
        <f>IF($B255="","",IF($B255+1&gt;'Oneri mensili'!$C$4,"",IF(B255&lt;'Oneri mensili'!$C$11-1,0,IF('Oneri mensili'!$C$10=dropdowns!$B$186,'Oneri mensili'!$J$3,IF('Oneri mensili'!$C$10=dropdowns!$B$185,IFERROR('Oneri mensili'!$J$3-K256,0),0)))))</f>
      </c>
      <c r="K256" s="81" t="str">
        <f>IF($B255="","",IF($B255+1&gt;'Oneri mensili'!$C$4,"",G256*I256*'Oneri mensili'!$C$8))</f>
      </c>
      <c r="L256" s="81" t="str">
        <f t="shared" si="17"/>
      </c>
      <c r="M256" s="81" t="str">
        <f t="shared" si="15"/>
      </c>
      <c r="N256" s="80"/>
      <c r="O256" s="82" t="str">
        <f>IF($B256="","",'Oneri mensili'!$C$8)</f>
      </c>
      <c r="P256" s="82" t="str">
        <f>IF($B256="","",'Oneri mensili'!$C$8*(POWER(1+'Oneri mensili'!$C$8,$B256-1+1)))</f>
      </c>
      <c r="Q256" s="82" t="str">
        <f t="shared" si="18"/>
      </c>
      <c r="R256" s="80"/>
      <c r="S256" s="81" t="str">
        <f t="shared" si="16"/>
      </c>
      <c r="T256" s="81" t="str">
        <f>IF(S256="","",J256/(POWER(1+'Oneri mensili'!$C$8,$B256-1+1)))</f>
      </c>
      <c r="U256" s="83" t="str">
        <f t="shared" si="19"/>
      </c>
      <c r="V256" s="81" t="str">
        <f>IF($B256="","",K256/(POWER(1+'Oneri mensili'!$C$8,$B256-1+1)))</f>
      </c>
      <c r="W256" s="80"/>
    </row>
    <row r="257" spans="1:23" s="85" customFormat="1">
      <c r="A257" s="76"/>
      <c r="B257" s="77" t="str">
        <f>IF($B256="","",IF($B256+1&gt;'Oneri mensili'!$C$4,"",Schema!B256+1))</f>
      </c>
      <c r="C257" s="78" t="str">
        <f>IF($B256="","",IF($B256+1&gt;'Oneri mensili'!$C$4,"",EOMONTH(C256,0)+1))</f>
      </c>
      <c r="D257" s="76"/>
      <c r="E257" s="78" t="str">
        <f>IF($B256="","",IF($B256+1&gt;'Oneri mensili'!$C$4,"",F256+1))</f>
      </c>
      <c r="F257" s="78" t="str">
        <f>IF($B256="","",IF($B256+1&gt;'Oneri mensili'!$C$4,"",EOMONTH(E257,0)))</f>
      </c>
      <c r="G257" s="79" t="str">
        <f>IF($B256="","",IF($B256+1&gt;'Oneri mensili'!$C$4,"",(F257-E257)+1)/DAY(F257))</f>
      </c>
      <c r="H257" s="80"/>
      <c r="I257" s="81" t="str">
        <f>IF($B256="","",IF($B256+1&gt;'Oneri mensili'!$C$4,"",I256-J256))</f>
      </c>
      <c r="J257" s="81" t="str">
        <f>IF($B256="","",IF($B256+1&gt;'Oneri mensili'!$C$4,"",IF(B256&lt;'Oneri mensili'!$C$11-1,0,IF('Oneri mensili'!$C$10=dropdowns!$B$186,'Oneri mensili'!$J$3,IF('Oneri mensili'!$C$10=dropdowns!$B$185,IFERROR('Oneri mensili'!$J$3-K257,0),0)))))</f>
      </c>
      <c r="K257" s="81" t="str">
        <f>IF($B256="","",IF($B256+1&gt;'Oneri mensili'!$C$4,"",G257*I257*'Oneri mensili'!$C$8))</f>
      </c>
      <c r="L257" s="81" t="str">
        <f t="shared" si="17"/>
      </c>
      <c r="M257" s="81" t="str">
        <f t="shared" si="15"/>
      </c>
      <c r="N257" s="80"/>
      <c r="O257" s="82" t="str">
        <f>IF($B257="","",'Oneri mensili'!$C$8)</f>
      </c>
      <c r="P257" s="82" t="str">
        <f>IF($B257="","",'Oneri mensili'!$C$8*(POWER(1+'Oneri mensili'!$C$8,$B257-1+1)))</f>
      </c>
      <c r="Q257" s="82" t="str">
        <f t="shared" si="18"/>
      </c>
      <c r="R257" s="80"/>
      <c r="S257" s="81" t="str">
        <f t="shared" si="16"/>
      </c>
      <c r="T257" s="81" t="str">
        <f>IF(S257="","",J257/(POWER(1+'Oneri mensili'!$C$8,$B257-1+1)))</f>
      </c>
      <c r="U257" s="83" t="str">
        <f t="shared" si="19"/>
      </c>
      <c r="V257" s="81" t="str">
        <f>IF($B257="","",K257/(POWER(1+'Oneri mensili'!$C$8,$B257-1+1)))</f>
      </c>
      <c r="W257" s="80"/>
    </row>
    <row r="258" spans="1:23" s="85" customFormat="1">
      <c r="A258" s="76"/>
      <c r="B258" s="77" t="str">
        <f>IF($B257="","",IF($B257+1&gt;'Oneri mensili'!$C$4,"",Schema!B257+1))</f>
      </c>
      <c r="C258" s="78" t="str">
        <f>IF($B257="","",IF($B257+1&gt;'Oneri mensili'!$C$4,"",EOMONTH(C257,0)+1))</f>
      </c>
      <c r="D258" s="76"/>
      <c r="E258" s="78" t="str">
        <f>IF($B257="","",IF($B257+1&gt;'Oneri mensili'!$C$4,"",F257+1))</f>
      </c>
      <c r="F258" s="78" t="str">
        <f>IF($B257="","",IF($B257+1&gt;'Oneri mensili'!$C$4,"",EOMONTH(E258,0)))</f>
      </c>
      <c r="G258" s="79" t="str">
        <f>IF($B257="","",IF($B257+1&gt;'Oneri mensili'!$C$4,"",(F258-E258)+1)/DAY(F258))</f>
      </c>
      <c r="H258" s="80"/>
      <c r="I258" s="81" t="str">
        <f>IF($B257="","",IF($B257+1&gt;'Oneri mensili'!$C$4,"",I257-J257))</f>
      </c>
      <c r="J258" s="81" t="str">
        <f>IF($B257="","",IF($B257+1&gt;'Oneri mensili'!$C$4,"",IF(B257&lt;'Oneri mensili'!$C$11-1,0,IF('Oneri mensili'!$C$10=dropdowns!$B$186,'Oneri mensili'!$J$3,IF('Oneri mensili'!$C$10=dropdowns!$B$185,IFERROR('Oneri mensili'!$J$3-K258,0),0)))))</f>
      </c>
      <c r="K258" s="81" t="str">
        <f>IF($B257="","",IF($B257+1&gt;'Oneri mensili'!$C$4,"",G258*I258*'Oneri mensili'!$C$8))</f>
      </c>
      <c r="L258" s="81" t="str">
        <f t="shared" si="17"/>
      </c>
      <c r="M258" s="81" t="str">
        <f t="shared" si="15"/>
      </c>
      <c r="N258" s="80"/>
      <c r="O258" s="82" t="str">
        <f>IF($B258="","",'Oneri mensili'!$C$8)</f>
      </c>
      <c r="P258" s="82" t="str">
        <f>IF($B258="","",'Oneri mensili'!$C$8*(POWER(1+'Oneri mensili'!$C$8,$B258-1+1)))</f>
      </c>
      <c r="Q258" s="82" t="str">
        <f t="shared" si="18"/>
      </c>
      <c r="R258" s="80"/>
      <c r="S258" s="81" t="str">
        <f t="shared" si="16"/>
      </c>
      <c r="T258" s="81" t="str">
        <f>IF(S258="","",J258/(POWER(1+'Oneri mensili'!$C$8,$B258-1+1)))</f>
      </c>
      <c r="U258" s="83" t="str">
        <f t="shared" si="19"/>
      </c>
      <c r="V258" s="81" t="str">
        <f>IF($B258="","",K258/(POWER(1+'Oneri mensili'!$C$8,$B258-1+1)))</f>
      </c>
      <c r="W258" s="80"/>
    </row>
    <row r="259" spans="1:23" s="85" customFormat="1">
      <c r="A259" s="76"/>
      <c r="B259" s="77" t="str">
        <f>IF($B258="","",IF($B258+1&gt;'Oneri mensili'!$C$4,"",Schema!B258+1))</f>
      </c>
      <c r="C259" s="78" t="str">
        <f>IF($B258="","",IF($B258+1&gt;'Oneri mensili'!$C$4,"",EOMONTH(C258,0)+1))</f>
      </c>
      <c r="D259" s="76"/>
      <c r="E259" s="78" t="str">
        <f>IF($B258="","",IF($B258+1&gt;'Oneri mensili'!$C$4,"",F258+1))</f>
      </c>
      <c r="F259" s="78" t="str">
        <f>IF($B258="","",IF($B258+1&gt;'Oneri mensili'!$C$4,"",EOMONTH(E259,0)))</f>
      </c>
      <c r="G259" s="79" t="str">
        <f>IF($B258="","",IF($B258+1&gt;'Oneri mensili'!$C$4,"",(F259-E259)+1)/DAY(F259))</f>
      </c>
      <c r="H259" s="80"/>
      <c r="I259" s="81" t="str">
        <f>IF($B258="","",IF($B258+1&gt;'Oneri mensili'!$C$4,"",I258-J258))</f>
      </c>
      <c r="J259" s="81" t="str">
        <f>IF($B258="","",IF($B258+1&gt;'Oneri mensili'!$C$4,"",IF(B258&lt;'Oneri mensili'!$C$11-1,0,IF('Oneri mensili'!$C$10=dropdowns!$B$186,'Oneri mensili'!$J$3,IF('Oneri mensili'!$C$10=dropdowns!$B$185,IFERROR('Oneri mensili'!$J$3-K259,0),0)))))</f>
      </c>
      <c r="K259" s="81" t="str">
        <f>IF($B258="","",IF($B258+1&gt;'Oneri mensili'!$C$4,"",G259*I259*'Oneri mensili'!$C$8))</f>
      </c>
      <c r="L259" s="81" t="str">
        <f t="shared" si="17"/>
      </c>
      <c r="M259" s="81" t="str">
        <f t="shared" si="15"/>
      </c>
      <c r="N259" s="80"/>
      <c r="O259" s="82" t="str">
        <f>IF($B259="","",'Oneri mensili'!$C$8)</f>
      </c>
      <c r="P259" s="82" t="str">
        <f>IF($B259="","",'Oneri mensili'!$C$8*(POWER(1+'Oneri mensili'!$C$8,$B259-1+1)))</f>
      </c>
      <c r="Q259" s="82" t="str">
        <f t="shared" si="18"/>
      </c>
      <c r="R259" s="80"/>
      <c r="S259" s="81" t="str">
        <f t="shared" si="16"/>
      </c>
      <c r="T259" s="81" t="str">
        <f>IF(S259="","",J259/(POWER(1+'Oneri mensili'!$C$8,$B259-1+1)))</f>
      </c>
      <c r="U259" s="83" t="str">
        <f t="shared" si="19"/>
      </c>
      <c r="V259" s="81" t="str">
        <f>IF($B259="","",K259/(POWER(1+'Oneri mensili'!$C$8,$B259-1+1)))</f>
      </c>
      <c r="W259" s="80"/>
    </row>
    <row r="260" spans="1:23" s="85" customFormat="1">
      <c r="A260" s="76"/>
      <c r="B260" s="77" t="str">
        <f>IF($B259="","",IF($B259+1&gt;'Oneri mensili'!$C$4,"",Schema!B259+1))</f>
      </c>
      <c r="C260" s="78" t="str">
        <f>IF($B259="","",IF($B259+1&gt;'Oneri mensili'!$C$4,"",EOMONTH(C259,0)+1))</f>
      </c>
      <c r="D260" s="76"/>
      <c r="E260" s="78" t="str">
        <f>IF($B259="","",IF($B259+1&gt;'Oneri mensili'!$C$4,"",F259+1))</f>
      </c>
      <c r="F260" s="78" t="str">
        <f>IF($B259="","",IF($B259+1&gt;'Oneri mensili'!$C$4,"",EOMONTH(E260,0)))</f>
      </c>
      <c r="G260" s="79" t="str">
        <f>IF($B259="","",IF($B259+1&gt;'Oneri mensili'!$C$4,"",(F260-E260)+1)/DAY(F260))</f>
      </c>
      <c r="H260" s="80"/>
      <c r="I260" s="81" t="str">
        <f>IF($B259="","",IF($B259+1&gt;'Oneri mensili'!$C$4,"",I259-J259))</f>
      </c>
      <c r="J260" s="81" t="str">
        <f>IF($B259="","",IF($B259+1&gt;'Oneri mensili'!$C$4,"",IF(B259&lt;'Oneri mensili'!$C$11-1,0,IF('Oneri mensili'!$C$10=dropdowns!$B$186,'Oneri mensili'!$J$3,IF('Oneri mensili'!$C$10=dropdowns!$B$185,IFERROR('Oneri mensili'!$J$3-K260,0),0)))))</f>
      </c>
      <c r="K260" s="81" t="str">
        <f>IF($B259="","",IF($B259+1&gt;'Oneri mensili'!$C$4,"",G260*I260*'Oneri mensili'!$C$8))</f>
      </c>
      <c r="L260" s="81" t="str">
        <f t="shared" si="17"/>
      </c>
      <c r="M260" s="81" t="str">
        <f t="shared" si="15"/>
      </c>
      <c r="N260" s="80"/>
      <c r="O260" s="82" t="str">
        <f>IF($B260="","",'Oneri mensili'!$C$8)</f>
      </c>
      <c r="P260" s="82" t="str">
        <f>IF($B260="","",'Oneri mensili'!$C$8*(POWER(1+'Oneri mensili'!$C$8,$B260-1+1)))</f>
      </c>
      <c r="Q260" s="82" t="str">
        <f t="shared" si="18"/>
      </c>
      <c r="R260" s="80"/>
      <c r="S260" s="81" t="str">
        <f t="shared" si="16"/>
      </c>
      <c r="T260" s="81" t="str">
        <f>IF(S260="","",J260/(POWER(1+'Oneri mensili'!$C$8,$B260-1+1)))</f>
      </c>
      <c r="U260" s="83" t="str">
        <f t="shared" si="19"/>
      </c>
      <c r="V260" s="81" t="str">
        <f>IF($B260="","",K260/(POWER(1+'Oneri mensili'!$C$8,$B260-1+1)))</f>
      </c>
      <c r="W260" s="80"/>
    </row>
    <row r="261" spans="1:23" s="85" customFormat="1">
      <c r="A261" s="76"/>
      <c r="B261" s="77" t="str">
        <f>IF($B260="","",IF($B260+1&gt;'Oneri mensili'!$C$4,"",Schema!B260+1))</f>
      </c>
      <c r="C261" s="78" t="str">
        <f>IF($B260="","",IF($B260+1&gt;'Oneri mensili'!$C$4,"",EOMONTH(C260,0)+1))</f>
      </c>
      <c r="D261" s="76"/>
      <c r="E261" s="78" t="str">
        <f>IF($B260="","",IF($B260+1&gt;'Oneri mensili'!$C$4,"",F260+1))</f>
      </c>
      <c r="F261" s="78" t="str">
        <f>IF($B260="","",IF($B260+1&gt;'Oneri mensili'!$C$4,"",EOMONTH(E261,0)))</f>
      </c>
      <c r="G261" s="79" t="str">
        <f>IF($B260="","",IF($B260+1&gt;'Oneri mensili'!$C$4,"",(F261-E261)+1)/DAY(F261))</f>
      </c>
      <c r="H261" s="80"/>
      <c r="I261" s="81" t="str">
        <f>IF($B260="","",IF($B260+1&gt;'Oneri mensili'!$C$4,"",I260-J260))</f>
      </c>
      <c r="J261" s="81" t="str">
        <f>IF($B260="","",IF($B260+1&gt;'Oneri mensili'!$C$4,"",IF(B260&lt;'Oneri mensili'!$C$11-1,0,IF('Oneri mensili'!$C$10=dropdowns!$B$186,'Oneri mensili'!$J$3,IF('Oneri mensili'!$C$10=dropdowns!$B$185,IFERROR('Oneri mensili'!$J$3-K261,0),0)))))</f>
      </c>
      <c r="K261" s="81" t="str">
        <f>IF($B260="","",IF($B260+1&gt;'Oneri mensili'!$C$4,"",G261*I261*'Oneri mensili'!$C$8))</f>
      </c>
      <c r="L261" s="81" t="str">
        <f t="shared" si="17"/>
      </c>
      <c r="M261" s="81" t="str">
        <f t="shared" si="15"/>
      </c>
      <c r="N261" s="80"/>
      <c r="O261" s="82" t="str">
        <f>IF($B261="","",'Oneri mensili'!$C$8)</f>
      </c>
      <c r="P261" s="82" t="str">
        <f>IF($B261="","",'Oneri mensili'!$C$8*(POWER(1+'Oneri mensili'!$C$8,$B261-1+1)))</f>
      </c>
      <c r="Q261" s="82" t="str">
        <f t="shared" si="18"/>
      </c>
      <c r="R261" s="80"/>
      <c r="S261" s="81" t="str">
        <f t="shared" si="16"/>
      </c>
      <c r="T261" s="81" t="str">
        <f>IF(S261="","",J261/(POWER(1+'Oneri mensili'!$C$8,$B261-1+1)))</f>
      </c>
      <c r="U261" s="83" t="str">
        <f t="shared" si="19"/>
      </c>
      <c r="V261" s="81" t="str">
        <f>IF($B261="","",K261/(POWER(1+'Oneri mensili'!$C$8,$B261-1+1)))</f>
      </c>
      <c r="W261" s="80"/>
    </row>
    <row r="262" spans="1:23" s="85" customFormat="1">
      <c r="A262" s="76"/>
      <c r="B262" s="77" t="str">
        <f>IF($B261="","",IF($B261+1&gt;'Oneri mensili'!$C$4,"",Schema!B261+1))</f>
      </c>
      <c r="C262" s="78" t="str">
        <f>IF($B261="","",IF($B261+1&gt;'Oneri mensili'!$C$4,"",EOMONTH(C261,0)+1))</f>
      </c>
      <c r="D262" s="76"/>
      <c r="E262" s="78" t="str">
        <f>IF($B261="","",IF($B261+1&gt;'Oneri mensili'!$C$4,"",F261+1))</f>
      </c>
      <c r="F262" s="78" t="str">
        <f>IF($B261="","",IF($B261+1&gt;'Oneri mensili'!$C$4,"",EOMONTH(E262,0)))</f>
      </c>
      <c r="G262" s="79" t="str">
        <f>IF($B261="","",IF($B261+1&gt;'Oneri mensili'!$C$4,"",(F262-E262)+1)/DAY(F262))</f>
      </c>
      <c r="H262" s="80"/>
      <c r="I262" s="81" t="str">
        <f>IF($B261="","",IF($B261+1&gt;'Oneri mensili'!$C$4,"",I261-J261))</f>
      </c>
      <c r="J262" s="81" t="str">
        <f>IF($B261="","",IF($B261+1&gt;'Oneri mensili'!$C$4,"",IF(B261&lt;'Oneri mensili'!$C$11-1,0,IF('Oneri mensili'!$C$10=dropdowns!$B$186,'Oneri mensili'!$J$3,IF('Oneri mensili'!$C$10=dropdowns!$B$185,IFERROR('Oneri mensili'!$J$3-K262,0),0)))))</f>
      </c>
      <c r="K262" s="81" t="str">
        <f>IF($B261="","",IF($B261+1&gt;'Oneri mensili'!$C$4,"",G262*I262*'Oneri mensili'!$C$8))</f>
      </c>
      <c r="L262" s="81" t="str">
        <f t="shared" si="17"/>
      </c>
      <c r="M262" s="81" t="str">
        <f t="shared" si="15"/>
      </c>
      <c r="N262" s="80"/>
      <c r="O262" s="82" t="str">
        <f>IF($B262="","",'Oneri mensili'!$C$8)</f>
      </c>
      <c r="P262" s="82" t="str">
        <f>IF($B262="","",'Oneri mensili'!$C$8*(POWER(1+'Oneri mensili'!$C$8,$B262-1+1)))</f>
      </c>
      <c r="Q262" s="82" t="str">
        <f t="shared" si="18"/>
      </c>
      <c r="R262" s="80"/>
      <c r="S262" s="81" t="str">
        <f t="shared" si="16"/>
      </c>
      <c r="T262" s="81" t="str">
        <f>IF(S262="","",J262/(POWER(1+'Oneri mensili'!$C$8,$B262-1+1)))</f>
      </c>
      <c r="U262" s="83" t="str">
        <f t="shared" si="19"/>
      </c>
      <c r="V262" s="81" t="str">
        <f>IF($B262="","",K262/(POWER(1+'Oneri mensili'!$C$8,$B262-1+1)))</f>
      </c>
      <c r="W262" s="80"/>
    </row>
    <row r="263" spans="1:23" s="85" customFormat="1">
      <c r="A263" s="76"/>
      <c r="B263" s="77" t="str">
        <f>IF($B262="","",IF($B262+1&gt;'Oneri mensili'!$C$4,"",Schema!B262+1))</f>
      </c>
      <c r="C263" s="78" t="str">
        <f>IF($B262="","",IF($B262+1&gt;'Oneri mensili'!$C$4,"",EOMONTH(C262,0)+1))</f>
      </c>
      <c r="D263" s="76"/>
      <c r="E263" s="78" t="str">
        <f>IF($B262="","",IF($B262+1&gt;'Oneri mensili'!$C$4,"",F262+1))</f>
      </c>
      <c r="F263" s="78" t="str">
        <f>IF($B262="","",IF($B262+1&gt;'Oneri mensili'!$C$4,"",EOMONTH(E263,0)))</f>
      </c>
      <c r="G263" s="79" t="str">
        <f>IF($B262="","",IF($B262+1&gt;'Oneri mensili'!$C$4,"",(F263-E263)+1)/DAY(F263))</f>
      </c>
      <c r="H263" s="80"/>
      <c r="I263" s="81" t="str">
        <f>IF($B262="","",IF($B262+1&gt;'Oneri mensili'!$C$4,"",I262-J262))</f>
      </c>
      <c r="J263" s="81" t="str">
        <f>IF($B262="","",IF($B262+1&gt;'Oneri mensili'!$C$4,"",IF(B262&lt;'Oneri mensili'!$C$11-1,0,IF('Oneri mensili'!$C$10=dropdowns!$B$186,'Oneri mensili'!$J$3,IF('Oneri mensili'!$C$10=dropdowns!$B$185,IFERROR('Oneri mensili'!$J$3-K263,0),0)))))</f>
      </c>
      <c r="K263" s="81" t="str">
        <f>IF($B262="","",IF($B262+1&gt;'Oneri mensili'!$C$4,"",G263*I263*'Oneri mensili'!$C$8))</f>
      </c>
      <c r="L263" s="81" t="str">
        <f t="shared" si="17"/>
      </c>
      <c r="M263" s="81" t="str">
        <f t="shared" si="15"/>
      </c>
      <c r="N263" s="80"/>
      <c r="O263" s="82" t="str">
        <f>IF($B263="","",'Oneri mensili'!$C$8)</f>
      </c>
      <c r="P263" s="82" t="str">
        <f>IF($B263="","",'Oneri mensili'!$C$8*(POWER(1+'Oneri mensili'!$C$8,$B263-1+1)))</f>
      </c>
      <c r="Q263" s="82" t="str">
        <f t="shared" si="18"/>
      </c>
      <c r="R263" s="80"/>
      <c r="S263" s="81" t="str">
        <f t="shared" si="16"/>
      </c>
      <c r="T263" s="81" t="str">
        <f>IF(S263="","",J263/(POWER(1+'Oneri mensili'!$C$8,$B263-1+1)))</f>
      </c>
      <c r="U263" s="83" t="str">
        <f t="shared" si="19"/>
      </c>
      <c r="V263" s="81" t="str">
        <f>IF($B263="","",K263/(POWER(1+'Oneri mensili'!$C$8,$B263-1+1)))</f>
      </c>
      <c r="W263" s="80"/>
    </row>
    <row r="264" spans="1:23" s="85" customFormat="1">
      <c r="A264" s="76"/>
      <c r="B264" s="77" t="str">
        <f>IF($B263="","",IF($B263+1&gt;'Oneri mensili'!$C$4,"",Schema!B263+1))</f>
      </c>
      <c r="C264" s="78" t="str">
        <f>IF($B263="","",IF($B263+1&gt;'Oneri mensili'!$C$4,"",EOMONTH(C263,0)+1))</f>
      </c>
      <c r="D264" s="76"/>
      <c r="E264" s="78" t="str">
        <f>IF($B263="","",IF($B263+1&gt;'Oneri mensili'!$C$4,"",F263+1))</f>
      </c>
      <c r="F264" s="78" t="str">
        <f>IF($B263="","",IF($B263+1&gt;'Oneri mensili'!$C$4,"",EOMONTH(E264,0)))</f>
      </c>
      <c r="G264" s="79" t="str">
        <f>IF($B263="","",IF($B263+1&gt;'Oneri mensili'!$C$4,"",(F264-E264)+1)/DAY(F264))</f>
      </c>
      <c r="H264" s="80"/>
      <c r="I264" s="81" t="str">
        <f>IF($B263="","",IF($B263+1&gt;'Oneri mensili'!$C$4,"",I263-J263))</f>
      </c>
      <c r="J264" s="81" t="str">
        <f>IF($B263="","",IF($B263+1&gt;'Oneri mensili'!$C$4,"",IF(B263&lt;'Oneri mensili'!$C$11-1,0,IF('Oneri mensili'!$C$10=dropdowns!$B$186,'Oneri mensili'!$J$3,IF('Oneri mensili'!$C$10=dropdowns!$B$185,IFERROR('Oneri mensili'!$J$3-K264,0),0)))))</f>
      </c>
      <c r="K264" s="81" t="str">
        <f>IF($B263="","",IF($B263+1&gt;'Oneri mensili'!$C$4,"",G264*I264*'Oneri mensili'!$C$8))</f>
      </c>
      <c r="L264" s="81" t="str">
        <f t="shared" si="17"/>
      </c>
      <c r="M264" s="81" t="str">
        <f t="shared" si="15"/>
      </c>
      <c r="N264" s="80"/>
      <c r="O264" s="82" t="str">
        <f>IF($B264="","",'Oneri mensili'!$C$8)</f>
      </c>
      <c r="P264" s="82" t="str">
        <f>IF($B264="","",'Oneri mensili'!$C$8*(POWER(1+'Oneri mensili'!$C$8,$B264-1+1)))</f>
      </c>
      <c r="Q264" s="82" t="str">
        <f t="shared" si="18"/>
      </c>
      <c r="R264" s="80"/>
      <c r="S264" s="81" t="str">
        <f t="shared" si="16"/>
      </c>
      <c r="T264" s="81" t="str">
        <f>IF(S264="","",J264/(POWER(1+'Oneri mensili'!$C$8,$B264-1+1)))</f>
      </c>
      <c r="U264" s="83" t="str">
        <f t="shared" si="19"/>
      </c>
      <c r="V264" s="81" t="str">
        <f>IF($B264="","",K264/(POWER(1+'Oneri mensili'!$C$8,$B264-1+1)))</f>
      </c>
      <c r="W264" s="80"/>
    </row>
    <row r="265" spans="1:23" s="85" customFormat="1">
      <c r="A265" s="76"/>
      <c r="B265" s="77" t="str">
        <f>IF($B264="","",IF($B264+1&gt;'Oneri mensili'!$C$4,"",Schema!B264+1))</f>
      </c>
      <c r="C265" s="78" t="str">
        <f>IF($B264="","",IF($B264+1&gt;'Oneri mensili'!$C$4,"",EOMONTH(C264,0)+1))</f>
      </c>
      <c r="D265" s="76"/>
      <c r="E265" s="78" t="str">
        <f>IF($B264="","",IF($B264+1&gt;'Oneri mensili'!$C$4,"",F264+1))</f>
      </c>
      <c r="F265" s="78" t="str">
        <f>IF($B264="","",IF($B264+1&gt;'Oneri mensili'!$C$4,"",EOMONTH(E265,0)))</f>
      </c>
      <c r="G265" s="79" t="str">
        <f>IF($B264="","",IF($B264+1&gt;'Oneri mensili'!$C$4,"",(F265-E265)+1)/DAY(F265))</f>
      </c>
      <c r="H265" s="80"/>
      <c r="I265" s="81" t="str">
        <f>IF($B264="","",IF($B264+1&gt;'Oneri mensili'!$C$4,"",I264-J264))</f>
      </c>
      <c r="J265" s="81" t="str">
        <f>IF($B264="","",IF($B264+1&gt;'Oneri mensili'!$C$4,"",IF(B264&lt;'Oneri mensili'!$C$11-1,0,IF('Oneri mensili'!$C$10=dropdowns!$B$186,'Oneri mensili'!$J$3,IF('Oneri mensili'!$C$10=dropdowns!$B$185,IFERROR('Oneri mensili'!$J$3-K265,0),0)))))</f>
      </c>
      <c r="K265" s="81" t="str">
        <f>IF($B264="","",IF($B264+1&gt;'Oneri mensili'!$C$4,"",G265*I265*'Oneri mensili'!$C$8))</f>
      </c>
      <c r="L265" s="81" t="str">
        <f t="shared" si="17"/>
      </c>
      <c r="M265" s="81" t="str">
        <f t="shared" si="15"/>
      </c>
      <c r="N265" s="80"/>
      <c r="O265" s="82" t="str">
        <f>IF($B265="","",'Oneri mensili'!$C$8)</f>
      </c>
      <c r="P265" s="82" t="str">
        <f>IF($B265="","",'Oneri mensili'!$C$8*(POWER(1+'Oneri mensili'!$C$8,$B265-1+1)))</f>
      </c>
      <c r="Q265" s="82" t="str">
        <f t="shared" si="18"/>
      </c>
      <c r="R265" s="80"/>
      <c r="S265" s="81" t="str">
        <f t="shared" si="16"/>
      </c>
      <c r="T265" s="81" t="str">
        <f>IF(S265="","",J265/(POWER(1+'Oneri mensili'!$C$8,$B265-1+1)))</f>
      </c>
      <c r="U265" s="83" t="str">
        <f t="shared" si="19"/>
      </c>
      <c r="V265" s="81" t="str">
        <f>IF($B265="","",K265/(POWER(1+'Oneri mensili'!$C$8,$B265-1+1)))</f>
      </c>
      <c r="W265" s="80"/>
    </row>
    <row r="266" spans="1:23" s="85" customFormat="1">
      <c r="A266" s="76"/>
      <c r="B266" s="77" t="str">
        <f>IF($B265="","",IF($B265+1&gt;'Oneri mensili'!$C$4,"",Schema!B265+1))</f>
      </c>
      <c r="C266" s="78" t="str">
        <f>IF($B265="","",IF($B265+1&gt;'Oneri mensili'!$C$4,"",EOMONTH(C265,0)+1))</f>
      </c>
      <c r="D266" s="76"/>
      <c r="E266" s="78" t="str">
        <f>IF($B265="","",IF($B265+1&gt;'Oneri mensili'!$C$4,"",F265+1))</f>
      </c>
      <c r="F266" s="78" t="str">
        <f>IF($B265="","",IF($B265+1&gt;'Oneri mensili'!$C$4,"",EOMONTH(E266,0)))</f>
      </c>
      <c r="G266" s="79" t="str">
        <f>IF($B265="","",IF($B265+1&gt;'Oneri mensili'!$C$4,"",(F266-E266)+1)/DAY(F266))</f>
      </c>
      <c r="H266" s="80"/>
      <c r="I266" s="81" t="str">
        <f>IF($B265="","",IF($B265+1&gt;'Oneri mensili'!$C$4,"",I265-J265))</f>
      </c>
      <c r="J266" s="81" t="str">
        <f>IF($B265="","",IF($B265+1&gt;'Oneri mensili'!$C$4,"",IF(B265&lt;'Oneri mensili'!$C$11-1,0,IF('Oneri mensili'!$C$10=dropdowns!$B$186,'Oneri mensili'!$J$3,IF('Oneri mensili'!$C$10=dropdowns!$B$185,IFERROR('Oneri mensili'!$J$3-K266,0),0)))))</f>
      </c>
      <c r="K266" s="81" t="str">
        <f>IF($B265="","",IF($B265+1&gt;'Oneri mensili'!$C$4,"",G266*I266*'Oneri mensili'!$C$8))</f>
      </c>
      <c r="L266" s="81" t="str">
        <f t="shared" si="17"/>
      </c>
      <c r="M266" s="81" t="str">
        <f t="shared" ref="M266:M329" si="20">IF(S266="","",-K266-J266)</f>
      </c>
      <c r="N266" s="80"/>
      <c r="O266" s="82" t="str">
        <f>IF($B266="","",'Oneri mensili'!$C$8)</f>
      </c>
      <c r="P266" s="82" t="str">
        <f>IF($B266="","",'Oneri mensili'!$C$8*(POWER(1+'Oneri mensili'!$C$8,$B266-1+1)))</f>
      </c>
      <c r="Q266" s="82" t="str">
        <f t="shared" si="18"/>
      </c>
      <c r="R266" s="80"/>
      <c r="S266" s="81" t="str">
        <f t="shared" ref="S266:S329" si="21">IF(B266="","",IF(S265-T265&lt;0,"",S265-T265))</f>
      </c>
      <c r="T266" s="81" t="str">
        <f>IF(S266="","",J266/(POWER(1+'Oneri mensili'!$C$8,$B266-1+1)))</f>
      </c>
      <c r="U266" s="83" t="str">
        <f t="shared" si="19"/>
      </c>
      <c r="V266" s="81" t="str">
        <f>IF($B266="","",K266/(POWER(1+'Oneri mensili'!$C$8,$B266-1+1)))</f>
      </c>
      <c r="W266" s="80"/>
    </row>
    <row r="267" spans="1:23" s="85" customFormat="1">
      <c r="A267" s="76"/>
      <c r="B267" s="77" t="str">
        <f>IF($B266="","",IF($B266+1&gt;'Oneri mensili'!$C$4,"",Schema!B266+1))</f>
      </c>
      <c r="C267" s="78" t="str">
        <f>IF($B266="","",IF($B266+1&gt;'Oneri mensili'!$C$4,"",EOMONTH(C266,0)+1))</f>
      </c>
      <c r="D267" s="76"/>
      <c r="E267" s="78" t="str">
        <f>IF($B266="","",IF($B266+1&gt;'Oneri mensili'!$C$4,"",F266+1))</f>
      </c>
      <c r="F267" s="78" t="str">
        <f>IF($B266="","",IF($B266+1&gt;'Oneri mensili'!$C$4,"",EOMONTH(E267,0)))</f>
      </c>
      <c r="G267" s="79" t="str">
        <f>IF($B266="","",IF($B266+1&gt;'Oneri mensili'!$C$4,"",(F267-E267)+1)/DAY(F267))</f>
      </c>
      <c r="H267" s="80"/>
      <c r="I267" s="81" t="str">
        <f>IF($B266="","",IF($B266+1&gt;'Oneri mensili'!$C$4,"",I266-J266))</f>
      </c>
      <c r="J267" s="81" t="str">
        <f>IF($B266="","",IF($B266+1&gt;'Oneri mensili'!$C$4,"",IF(B266&lt;'Oneri mensili'!$C$11-1,0,IF('Oneri mensili'!$C$10=dropdowns!$B$186,'Oneri mensili'!$J$3,IF('Oneri mensili'!$C$10=dropdowns!$B$185,IFERROR('Oneri mensili'!$J$3-K267,0),0)))))</f>
      </c>
      <c r="K267" s="81" t="str">
        <f>IF($B266="","",IF($B266+1&gt;'Oneri mensili'!$C$4,"",G267*I267*'Oneri mensili'!$C$8))</f>
      </c>
      <c r="L267" s="81" t="str">
        <f t="shared" ref="L267:L330" si="22">IF(S267="","",-K267-J267)</f>
      </c>
      <c r="M267" s="81" t="str">
        <f t="shared" si="20"/>
      </c>
      <c r="N267" s="80"/>
      <c r="O267" s="82" t="str">
        <f>IF($B267="","",'Oneri mensili'!$C$8)</f>
      </c>
      <c r="P267" s="82" t="str">
        <f>IF($B267="","",'Oneri mensili'!$C$8*(POWER(1+'Oneri mensili'!$C$8,$B267-1+1)))</f>
      </c>
      <c r="Q267" s="82" t="str">
        <f t="shared" ref="Q267:Q330" si="23">IF($B267="","",IFERROR(J267/T267-1,0))</f>
      </c>
      <c r="R267" s="80"/>
      <c r="S267" s="81" t="str">
        <f t="shared" si="21"/>
      </c>
      <c r="T267" s="81" t="str">
        <f>IF(S267="","",J267/(POWER(1+'Oneri mensili'!$C$8,$B267-1+1)))</f>
      </c>
      <c r="U267" s="83" t="str">
        <f t="shared" ref="U267:U330" si="24">IF(S267="","",T267+V267)</f>
      </c>
      <c r="V267" s="81" t="str">
        <f>IF($B267="","",K267/(POWER(1+'Oneri mensili'!$C$8,$B267-1+1)))</f>
      </c>
      <c r="W267" s="80"/>
    </row>
    <row r="268" spans="1:23" s="85" customFormat="1">
      <c r="A268" s="76"/>
      <c r="B268" s="77" t="str">
        <f>IF($B267="","",IF($B267+1&gt;'Oneri mensili'!$C$4,"",Schema!B267+1))</f>
      </c>
      <c r="C268" s="78" t="str">
        <f>IF($B267="","",IF($B267+1&gt;'Oneri mensili'!$C$4,"",EOMONTH(C267,0)+1))</f>
      </c>
      <c r="D268" s="76"/>
      <c r="E268" s="78" t="str">
        <f>IF($B267="","",IF($B267+1&gt;'Oneri mensili'!$C$4,"",F267+1))</f>
      </c>
      <c r="F268" s="78" t="str">
        <f>IF($B267="","",IF($B267+1&gt;'Oneri mensili'!$C$4,"",EOMONTH(E268,0)))</f>
      </c>
      <c r="G268" s="79" t="str">
        <f>IF($B267="","",IF($B267+1&gt;'Oneri mensili'!$C$4,"",(F268-E268)+1)/DAY(F268))</f>
      </c>
      <c r="H268" s="80"/>
      <c r="I268" s="81" t="str">
        <f>IF($B267="","",IF($B267+1&gt;'Oneri mensili'!$C$4,"",I267-J267))</f>
      </c>
      <c r="J268" s="81" t="str">
        <f>IF($B267="","",IF($B267+1&gt;'Oneri mensili'!$C$4,"",IF(B267&lt;'Oneri mensili'!$C$11-1,0,IF('Oneri mensili'!$C$10=dropdowns!$B$186,'Oneri mensili'!$J$3,IF('Oneri mensili'!$C$10=dropdowns!$B$185,IFERROR('Oneri mensili'!$J$3-K268,0),0)))))</f>
      </c>
      <c r="K268" s="81" t="str">
        <f>IF($B267="","",IF($B267+1&gt;'Oneri mensili'!$C$4,"",G268*I268*'Oneri mensili'!$C$8))</f>
      </c>
      <c r="L268" s="81" t="str">
        <f t="shared" si="22"/>
      </c>
      <c r="M268" s="81" t="str">
        <f t="shared" si="20"/>
      </c>
      <c r="N268" s="80"/>
      <c r="O268" s="82" t="str">
        <f>IF($B268="","",'Oneri mensili'!$C$8)</f>
      </c>
      <c r="P268" s="82" t="str">
        <f>IF($B268="","",'Oneri mensili'!$C$8*(POWER(1+'Oneri mensili'!$C$8,$B268-1+1)))</f>
      </c>
      <c r="Q268" s="82" t="str">
        <f t="shared" si="23"/>
      </c>
      <c r="R268" s="80"/>
      <c r="S268" s="81" t="str">
        <f t="shared" si="21"/>
      </c>
      <c r="T268" s="81" t="str">
        <f>IF(S268="","",J268/(POWER(1+'Oneri mensili'!$C$8,$B268-1+1)))</f>
      </c>
      <c r="U268" s="83" t="str">
        <f t="shared" si="24"/>
      </c>
      <c r="V268" s="81" t="str">
        <f>IF($B268="","",K268/(POWER(1+'Oneri mensili'!$C$8,$B268-1+1)))</f>
      </c>
      <c r="W268" s="80"/>
    </row>
    <row r="269" spans="1:23" s="85" customFormat="1">
      <c r="A269" s="76"/>
      <c r="B269" s="77" t="str">
        <f>IF($B268="","",IF($B268+1&gt;'Oneri mensili'!$C$4,"",Schema!B268+1))</f>
      </c>
      <c r="C269" s="78" t="str">
        <f>IF($B268="","",IF($B268+1&gt;'Oneri mensili'!$C$4,"",EOMONTH(C268,0)+1))</f>
      </c>
      <c r="D269" s="76"/>
      <c r="E269" s="78" t="str">
        <f>IF($B268="","",IF($B268+1&gt;'Oneri mensili'!$C$4,"",F268+1))</f>
      </c>
      <c r="F269" s="78" t="str">
        <f>IF($B268="","",IF($B268+1&gt;'Oneri mensili'!$C$4,"",EOMONTH(E269,0)))</f>
      </c>
      <c r="G269" s="79" t="str">
        <f>IF($B268="","",IF($B268+1&gt;'Oneri mensili'!$C$4,"",(F269-E269)+1)/DAY(F269))</f>
      </c>
      <c r="H269" s="80"/>
      <c r="I269" s="81" t="str">
        <f>IF($B268="","",IF($B268+1&gt;'Oneri mensili'!$C$4,"",I268-J268))</f>
      </c>
      <c r="J269" s="81" t="str">
        <f>IF($B268="","",IF($B268+1&gt;'Oneri mensili'!$C$4,"",IF(B268&lt;'Oneri mensili'!$C$11-1,0,IF('Oneri mensili'!$C$10=dropdowns!$B$186,'Oneri mensili'!$J$3,IF('Oneri mensili'!$C$10=dropdowns!$B$185,IFERROR('Oneri mensili'!$J$3-K269,0),0)))))</f>
      </c>
      <c r="K269" s="81" t="str">
        <f>IF($B268="","",IF($B268+1&gt;'Oneri mensili'!$C$4,"",G269*I269*'Oneri mensili'!$C$8))</f>
      </c>
      <c r="L269" s="81" t="str">
        <f t="shared" si="22"/>
      </c>
      <c r="M269" s="81" t="str">
        <f t="shared" si="20"/>
      </c>
      <c r="N269" s="80"/>
      <c r="O269" s="82" t="str">
        <f>IF($B269="","",'Oneri mensili'!$C$8)</f>
      </c>
      <c r="P269" s="82" t="str">
        <f>IF($B269="","",'Oneri mensili'!$C$8*(POWER(1+'Oneri mensili'!$C$8,$B269-1+1)))</f>
      </c>
      <c r="Q269" s="82" t="str">
        <f t="shared" si="23"/>
      </c>
      <c r="R269" s="80"/>
      <c r="S269" s="81" t="str">
        <f t="shared" si="21"/>
      </c>
      <c r="T269" s="81" t="str">
        <f>IF(S269="","",J269/(POWER(1+'Oneri mensili'!$C$8,$B269-1+1)))</f>
      </c>
      <c r="U269" s="83" t="str">
        <f t="shared" si="24"/>
      </c>
      <c r="V269" s="81" t="str">
        <f>IF($B269="","",K269/(POWER(1+'Oneri mensili'!$C$8,$B269-1+1)))</f>
      </c>
      <c r="W269" s="80"/>
    </row>
    <row r="270" spans="1:23" s="85" customFormat="1">
      <c r="A270" s="76"/>
      <c r="B270" s="77" t="str">
        <f>IF($B269="","",IF($B269+1&gt;'Oneri mensili'!$C$4,"",Schema!B269+1))</f>
      </c>
      <c r="C270" s="78" t="str">
        <f>IF($B269="","",IF($B269+1&gt;'Oneri mensili'!$C$4,"",EOMONTH(C269,0)+1))</f>
      </c>
      <c r="D270" s="76"/>
      <c r="E270" s="78" t="str">
        <f>IF($B269="","",IF($B269+1&gt;'Oneri mensili'!$C$4,"",F269+1))</f>
      </c>
      <c r="F270" s="78" t="str">
        <f>IF($B269="","",IF($B269+1&gt;'Oneri mensili'!$C$4,"",EOMONTH(E270,0)))</f>
      </c>
      <c r="G270" s="79" t="str">
        <f>IF($B269="","",IF($B269+1&gt;'Oneri mensili'!$C$4,"",(F270-E270)+1)/DAY(F270))</f>
      </c>
      <c r="H270" s="80"/>
      <c r="I270" s="81" t="str">
        <f>IF($B269="","",IF($B269+1&gt;'Oneri mensili'!$C$4,"",I269-J269))</f>
      </c>
      <c r="J270" s="81" t="str">
        <f>IF($B269="","",IF($B269+1&gt;'Oneri mensili'!$C$4,"",IF(B269&lt;'Oneri mensili'!$C$11-1,0,IF('Oneri mensili'!$C$10=dropdowns!$B$186,'Oneri mensili'!$J$3,IF('Oneri mensili'!$C$10=dropdowns!$B$185,IFERROR('Oneri mensili'!$J$3-K270,0),0)))))</f>
      </c>
      <c r="K270" s="81" t="str">
        <f>IF($B269="","",IF($B269+1&gt;'Oneri mensili'!$C$4,"",G270*I270*'Oneri mensili'!$C$8))</f>
      </c>
      <c r="L270" s="81" t="str">
        <f t="shared" si="22"/>
      </c>
      <c r="M270" s="81" t="str">
        <f t="shared" si="20"/>
      </c>
      <c r="N270" s="80"/>
      <c r="O270" s="82" t="str">
        <f>IF($B270="","",'Oneri mensili'!$C$8)</f>
      </c>
      <c r="P270" s="82" t="str">
        <f>IF($B270="","",'Oneri mensili'!$C$8*(POWER(1+'Oneri mensili'!$C$8,$B270-1+1)))</f>
      </c>
      <c r="Q270" s="82" t="str">
        <f t="shared" si="23"/>
      </c>
      <c r="R270" s="80"/>
      <c r="S270" s="81" t="str">
        <f t="shared" si="21"/>
      </c>
      <c r="T270" s="81" t="str">
        <f>IF(S270="","",J270/(POWER(1+'Oneri mensili'!$C$8,$B270-1+1)))</f>
      </c>
      <c r="U270" s="83" t="str">
        <f t="shared" si="24"/>
      </c>
      <c r="V270" s="81" t="str">
        <f>IF($B270="","",K270/(POWER(1+'Oneri mensili'!$C$8,$B270-1+1)))</f>
      </c>
      <c r="W270" s="80"/>
    </row>
    <row r="271" spans="1:23" s="85" customFormat="1">
      <c r="A271" s="76"/>
      <c r="B271" s="77" t="str">
        <f>IF($B270="","",IF($B270+1&gt;'Oneri mensili'!$C$4,"",Schema!B270+1))</f>
      </c>
      <c r="C271" s="78" t="str">
        <f>IF($B270="","",IF($B270+1&gt;'Oneri mensili'!$C$4,"",EOMONTH(C270,0)+1))</f>
      </c>
      <c r="D271" s="76"/>
      <c r="E271" s="78" t="str">
        <f>IF($B270="","",IF($B270+1&gt;'Oneri mensili'!$C$4,"",F270+1))</f>
      </c>
      <c r="F271" s="78" t="str">
        <f>IF($B270="","",IF($B270+1&gt;'Oneri mensili'!$C$4,"",EOMONTH(E271,0)))</f>
      </c>
      <c r="G271" s="79" t="str">
        <f>IF($B270="","",IF($B270+1&gt;'Oneri mensili'!$C$4,"",(F271-E271)+1)/DAY(F271))</f>
      </c>
      <c r="H271" s="80"/>
      <c r="I271" s="81" t="str">
        <f>IF($B270="","",IF($B270+1&gt;'Oneri mensili'!$C$4,"",I270-J270))</f>
      </c>
      <c r="J271" s="81" t="str">
        <f>IF($B270="","",IF($B270+1&gt;'Oneri mensili'!$C$4,"",IF(B270&lt;'Oneri mensili'!$C$11-1,0,IF('Oneri mensili'!$C$10=dropdowns!$B$186,'Oneri mensili'!$J$3,IF('Oneri mensili'!$C$10=dropdowns!$B$185,IFERROR('Oneri mensili'!$J$3-K271,0),0)))))</f>
      </c>
      <c r="K271" s="81" t="str">
        <f>IF($B270="","",IF($B270+1&gt;'Oneri mensili'!$C$4,"",G271*I271*'Oneri mensili'!$C$8))</f>
      </c>
      <c r="L271" s="81" t="str">
        <f t="shared" si="22"/>
      </c>
      <c r="M271" s="81" t="str">
        <f t="shared" si="20"/>
      </c>
      <c r="N271" s="80"/>
      <c r="O271" s="82" t="str">
        <f>IF($B271="","",'Oneri mensili'!$C$8)</f>
      </c>
      <c r="P271" s="82" t="str">
        <f>IF($B271="","",'Oneri mensili'!$C$8*(POWER(1+'Oneri mensili'!$C$8,$B271-1+1)))</f>
      </c>
      <c r="Q271" s="82" t="str">
        <f t="shared" si="23"/>
      </c>
      <c r="R271" s="80"/>
      <c r="S271" s="81" t="str">
        <f t="shared" si="21"/>
      </c>
      <c r="T271" s="81" t="str">
        <f>IF(S271="","",J271/(POWER(1+'Oneri mensili'!$C$8,$B271-1+1)))</f>
      </c>
      <c r="U271" s="83" t="str">
        <f t="shared" si="24"/>
      </c>
      <c r="V271" s="81" t="str">
        <f>IF($B271="","",K271/(POWER(1+'Oneri mensili'!$C$8,$B271-1+1)))</f>
      </c>
      <c r="W271" s="80"/>
    </row>
    <row r="272" spans="1:23" s="85" customFormat="1">
      <c r="A272" s="76"/>
      <c r="B272" s="77" t="str">
        <f>IF($B271="","",IF($B271+1&gt;'Oneri mensili'!$C$4,"",Schema!B271+1))</f>
      </c>
      <c r="C272" s="78" t="str">
        <f>IF($B271="","",IF($B271+1&gt;'Oneri mensili'!$C$4,"",EOMONTH(C271,0)+1))</f>
      </c>
      <c r="D272" s="76"/>
      <c r="E272" s="78" t="str">
        <f>IF($B271="","",IF($B271+1&gt;'Oneri mensili'!$C$4,"",F271+1))</f>
      </c>
      <c r="F272" s="78" t="str">
        <f>IF($B271="","",IF($B271+1&gt;'Oneri mensili'!$C$4,"",EOMONTH(E272,0)))</f>
      </c>
      <c r="G272" s="79" t="str">
        <f>IF($B271="","",IF($B271+1&gt;'Oneri mensili'!$C$4,"",(F272-E272)+1)/DAY(F272))</f>
      </c>
      <c r="H272" s="80"/>
      <c r="I272" s="81" t="str">
        <f>IF($B271="","",IF($B271+1&gt;'Oneri mensili'!$C$4,"",I271-J271))</f>
      </c>
      <c r="J272" s="81" t="str">
        <f>IF($B271="","",IF($B271+1&gt;'Oneri mensili'!$C$4,"",IF(B271&lt;'Oneri mensili'!$C$11-1,0,IF('Oneri mensili'!$C$10=dropdowns!$B$186,'Oneri mensili'!$J$3,IF('Oneri mensili'!$C$10=dropdowns!$B$185,IFERROR('Oneri mensili'!$J$3-K272,0),0)))))</f>
      </c>
      <c r="K272" s="81" t="str">
        <f>IF($B271="","",IF($B271+1&gt;'Oneri mensili'!$C$4,"",G272*I272*'Oneri mensili'!$C$8))</f>
      </c>
      <c r="L272" s="81" t="str">
        <f t="shared" si="22"/>
      </c>
      <c r="M272" s="81" t="str">
        <f t="shared" si="20"/>
      </c>
      <c r="N272" s="80"/>
      <c r="O272" s="82" t="str">
        <f>IF($B272="","",'Oneri mensili'!$C$8)</f>
      </c>
      <c r="P272" s="82" t="str">
        <f>IF($B272="","",'Oneri mensili'!$C$8*(POWER(1+'Oneri mensili'!$C$8,$B272-1+1)))</f>
      </c>
      <c r="Q272" s="82" t="str">
        <f t="shared" si="23"/>
      </c>
      <c r="R272" s="80"/>
      <c r="S272" s="81" t="str">
        <f t="shared" si="21"/>
      </c>
      <c r="T272" s="81" t="str">
        <f>IF(S272="","",J272/(POWER(1+'Oneri mensili'!$C$8,$B272-1+1)))</f>
      </c>
      <c r="U272" s="83" t="str">
        <f t="shared" si="24"/>
      </c>
      <c r="V272" s="81" t="str">
        <f>IF($B272="","",K272/(POWER(1+'Oneri mensili'!$C$8,$B272-1+1)))</f>
      </c>
      <c r="W272" s="80"/>
    </row>
    <row r="273" spans="1:23" s="85" customFormat="1">
      <c r="A273" s="76"/>
      <c r="B273" s="77" t="str">
        <f>IF($B272="","",IF($B272+1&gt;'Oneri mensili'!$C$4,"",Schema!B272+1))</f>
      </c>
      <c r="C273" s="78" t="str">
        <f>IF($B272="","",IF($B272+1&gt;'Oneri mensili'!$C$4,"",EOMONTH(C272,0)+1))</f>
      </c>
      <c r="D273" s="76"/>
      <c r="E273" s="78" t="str">
        <f>IF($B272="","",IF($B272+1&gt;'Oneri mensili'!$C$4,"",F272+1))</f>
      </c>
      <c r="F273" s="78" t="str">
        <f>IF($B272="","",IF($B272+1&gt;'Oneri mensili'!$C$4,"",EOMONTH(E273,0)))</f>
      </c>
      <c r="G273" s="79" t="str">
        <f>IF($B272="","",IF($B272+1&gt;'Oneri mensili'!$C$4,"",(F273-E273)+1)/DAY(F273))</f>
      </c>
      <c r="H273" s="80"/>
      <c r="I273" s="81" t="str">
        <f>IF($B272="","",IF($B272+1&gt;'Oneri mensili'!$C$4,"",I272-J272))</f>
      </c>
      <c r="J273" s="81" t="str">
        <f>IF($B272="","",IF($B272+1&gt;'Oneri mensili'!$C$4,"",IF(B272&lt;'Oneri mensili'!$C$11-1,0,IF('Oneri mensili'!$C$10=dropdowns!$B$186,'Oneri mensili'!$J$3,IF('Oneri mensili'!$C$10=dropdowns!$B$185,IFERROR('Oneri mensili'!$J$3-K273,0),0)))))</f>
      </c>
      <c r="K273" s="81" t="str">
        <f>IF($B272="","",IF($B272+1&gt;'Oneri mensili'!$C$4,"",G273*I273*'Oneri mensili'!$C$8))</f>
      </c>
      <c r="L273" s="81" t="str">
        <f t="shared" si="22"/>
      </c>
      <c r="M273" s="81" t="str">
        <f t="shared" si="20"/>
      </c>
      <c r="N273" s="80"/>
      <c r="O273" s="82" t="str">
        <f>IF($B273="","",'Oneri mensili'!$C$8)</f>
      </c>
      <c r="P273" s="82" t="str">
        <f>IF($B273="","",'Oneri mensili'!$C$8*(POWER(1+'Oneri mensili'!$C$8,$B273-1+1)))</f>
      </c>
      <c r="Q273" s="82" t="str">
        <f t="shared" si="23"/>
      </c>
      <c r="R273" s="80"/>
      <c r="S273" s="81" t="str">
        <f t="shared" si="21"/>
      </c>
      <c r="T273" s="81" t="str">
        <f>IF(S273="","",J273/(POWER(1+'Oneri mensili'!$C$8,$B273-1+1)))</f>
      </c>
      <c r="U273" s="83" t="str">
        <f t="shared" si="24"/>
      </c>
      <c r="V273" s="81" t="str">
        <f>IF($B273="","",K273/(POWER(1+'Oneri mensili'!$C$8,$B273-1+1)))</f>
      </c>
      <c r="W273" s="80"/>
    </row>
    <row r="274" spans="1:23" s="85" customFormat="1">
      <c r="A274" s="76"/>
      <c r="B274" s="77" t="str">
        <f>IF($B273="","",IF($B273+1&gt;'Oneri mensili'!$C$4,"",Schema!B273+1))</f>
      </c>
      <c r="C274" s="78" t="str">
        <f>IF($B273="","",IF($B273+1&gt;'Oneri mensili'!$C$4,"",EOMONTH(C273,0)+1))</f>
      </c>
      <c r="D274" s="76"/>
      <c r="E274" s="78" t="str">
        <f>IF($B273="","",IF($B273+1&gt;'Oneri mensili'!$C$4,"",F273+1))</f>
      </c>
      <c r="F274" s="78" t="str">
        <f>IF($B273="","",IF($B273+1&gt;'Oneri mensili'!$C$4,"",EOMONTH(E274,0)))</f>
      </c>
      <c r="G274" s="79" t="str">
        <f>IF($B273="","",IF($B273+1&gt;'Oneri mensili'!$C$4,"",(F274-E274)+1)/DAY(F274))</f>
      </c>
      <c r="H274" s="80"/>
      <c r="I274" s="81" t="str">
        <f>IF($B273="","",IF($B273+1&gt;'Oneri mensili'!$C$4,"",I273-J273))</f>
      </c>
      <c r="J274" s="81" t="str">
        <f>IF($B273="","",IF($B273+1&gt;'Oneri mensili'!$C$4,"",IF(B273&lt;'Oneri mensili'!$C$11-1,0,IF('Oneri mensili'!$C$10=dropdowns!$B$186,'Oneri mensili'!$J$3,IF('Oneri mensili'!$C$10=dropdowns!$B$185,IFERROR('Oneri mensili'!$J$3-K274,0),0)))))</f>
      </c>
      <c r="K274" s="81" t="str">
        <f>IF($B273="","",IF($B273+1&gt;'Oneri mensili'!$C$4,"",G274*I274*'Oneri mensili'!$C$8))</f>
      </c>
      <c r="L274" s="81" t="str">
        <f t="shared" si="22"/>
      </c>
      <c r="M274" s="81" t="str">
        <f t="shared" si="20"/>
      </c>
      <c r="N274" s="80"/>
      <c r="O274" s="82" t="str">
        <f>IF($B274="","",'Oneri mensili'!$C$8)</f>
      </c>
      <c r="P274" s="82" t="str">
        <f>IF($B274="","",'Oneri mensili'!$C$8*(POWER(1+'Oneri mensili'!$C$8,$B274-1+1)))</f>
      </c>
      <c r="Q274" s="82" t="str">
        <f t="shared" si="23"/>
      </c>
      <c r="R274" s="80"/>
      <c r="S274" s="81" t="str">
        <f t="shared" si="21"/>
      </c>
      <c r="T274" s="81" t="str">
        <f>IF(S274="","",J274/(POWER(1+'Oneri mensili'!$C$8,$B274-1+1)))</f>
      </c>
      <c r="U274" s="83" t="str">
        <f t="shared" si="24"/>
      </c>
      <c r="V274" s="81" t="str">
        <f>IF($B274="","",K274/(POWER(1+'Oneri mensili'!$C$8,$B274-1+1)))</f>
      </c>
      <c r="W274" s="80"/>
    </row>
    <row r="275" spans="1:23" s="85" customFormat="1">
      <c r="A275" s="76"/>
      <c r="B275" s="77" t="str">
        <f>IF($B274="","",IF($B274+1&gt;'Oneri mensili'!$C$4,"",Schema!B274+1))</f>
      </c>
      <c r="C275" s="78" t="str">
        <f>IF($B274="","",IF($B274+1&gt;'Oneri mensili'!$C$4,"",EOMONTH(C274,0)+1))</f>
      </c>
      <c r="D275" s="76"/>
      <c r="E275" s="78" t="str">
        <f>IF($B274="","",IF($B274+1&gt;'Oneri mensili'!$C$4,"",F274+1))</f>
      </c>
      <c r="F275" s="78" t="str">
        <f>IF($B274="","",IF($B274+1&gt;'Oneri mensili'!$C$4,"",EOMONTH(E275,0)))</f>
      </c>
      <c r="G275" s="79" t="str">
        <f>IF($B274="","",IF($B274+1&gt;'Oneri mensili'!$C$4,"",(F275-E275)+1)/DAY(F275))</f>
      </c>
      <c r="H275" s="80"/>
      <c r="I275" s="81" t="str">
        <f>IF($B274="","",IF($B274+1&gt;'Oneri mensili'!$C$4,"",I274-J274))</f>
      </c>
      <c r="J275" s="81" t="str">
        <f>IF($B274="","",IF($B274+1&gt;'Oneri mensili'!$C$4,"",IF(B274&lt;'Oneri mensili'!$C$11-1,0,IF('Oneri mensili'!$C$10=dropdowns!$B$186,'Oneri mensili'!$J$3,IF('Oneri mensili'!$C$10=dropdowns!$B$185,IFERROR('Oneri mensili'!$J$3-K275,0),0)))))</f>
      </c>
      <c r="K275" s="81" t="str">
        <f>IF($B274="","",IF($B274+1&gt;'Oneri mensili'!$C$4,"",G275*I275*'Oneri mensili'!$C$8))</f>
      </c>
      <c r="L275" s="81" t="str">
        <f t="shared" si="22"/>
      </c>
      <c r="M275" s="81" t="str">
        <f t="shared" si="20"/>
      </c>
      <c r="N275" s="80"/>
      <c r="O275" s="82" t="str">
        <f>IF($B275="","",'Oneri mensili'!$C$8)</f>
      </c>
      <c r="P275" s="82" t="str">
        <f>IF($B275="","",'Oneri mensili'!$C$8*(POWER(1+'Oneri mensili'!$C$8,$B275-1+1)))</f>
      </c>
      <c r="Q275" s="82" t="str">
        <f t="shared" si="23"/>
      </c>
      <c r="R275" s="80"/>
      <c r="S275" s="81" t="str">
        <f t="shared" si="21"/>
      </c>
      <c r="T275" s="81" t="str">
        <f>IF(S275="","",J275/(POWER(1+'Oneri mensili'!$C$8,$B275-1+1)))</f>
      </c>
      <c r="U275" s="83" t="str">
        <f t="shared" si="24"/>
      </c>
      <c r="V275" s="81" t="str">
        <f>IF($B275="","",K275/(POWER(1+'Oneri mensili'!$C$8,$B275-1+1)))</f>
      </c>
      <c r="W275" s="80"/>
    </row>
    <row r="276" spans="1:23" s="85" customFormat="1">
      <c r="A276" s="76"/>
      <c r="B276" s="77" t="str">
        <f>IF($B275="","",IF($B275+1&gt;'Oneri mensili'!$C$4,"",Schema!B275+1))</f>
      </c>
      <c r="C276" s="78" t="str">
        <f>IF($B275="","",IF($B275+1&gt;'Oneri mensili'!$C$4,"",EOMONTH(C275,0)+1))</f>
      </c>
      <c r="D276" s="76"/>
      <c r="E276" s="78" t="str">
        <f>IF($B275="","",IF($B275+1&gt;'Oneri mensili'!$C$4,"",F275+1))</f>
      </c>
      <c r="F276" s="78" t="str">
        <f>IF($B275="","",IF($B275+1&gt;'Oneri mensili'!$C$4,"",EOMONTH(E276,0)))</f>
      </c>
      <c r="G276" s="79" t="str">
        <f>IF($B275="","",IF($B275+1&gt;'Oneri mensili'!$C$4,"",(F276-E276)+1)/DAY(F276))</f>
      </c>
      <c r="H276" s="80"/>
      <c r="I276" s="81" t="str">
        <f>IF($B275="","",IF($B275+1&gt;'Oneri mensili'!$C$4,"",I275-J275))</f>
      </c>
      <c r="J276" s="81" t="str">
        <f>IF($B275="","",IF($B275+1&gt;'Oneri mensili'!$C$4,"",IF(B275&lt;'Oneri mensili'!$C$11-1,0,IF('Oneri mensili'!$C$10=dropdowns!$B$186,'Oneri mensili'!$J$3,IF('Oneri mensili'!$C$10=dropdowns!$B$185,IFERROR('Oneri mensili'!$J$3-K276,0),0)))))</f>
      </c>
      <c r="K276" s="81" t="str">
        <f>IF($B275="","",IF($B275+1&gt;'Oneri mensili'!$C$4,"",G276*I276*'Oneri mensili'!$C$8))</f>
      </c>
      <c r="L276" s="81" t="str">
        <f t="shared" si="22"/>
      </c>
      <c r="M276" s="81" t="str">
        <f t="shared" si="20"/>
      </c>
      <c r="N276" s="80"/>
      <c r="O276" s="82" t="str">
        <f>IF($B276="","",'Oneri mensili'!$C$8)</f>
      </c>
      <c r="P276" s="82" t="str">
        <f>IF($B276="","",'Oneri mensili'!$C$8*(POWER(1+'Oneri mensili'!$C$8,$B276-1+1)))</f>
      </c>
      <c r="Q276" s="82" t="str">
        <f t="shared" si="23"/>
      </c>
      <c r="R276" s="80"/>
      <c r="S276" s="81" t="str">
        <f t="shared" si="21"/>
      </c>
      <c r="T276" s="81" t="str">
        <f>IF(S276="","",J276/(POWER(1+'Oneri mensili'!$C$8,$B276-1+1)))</f>
      </c>
      <c r="U276" s="83" t="str">
        <f t="shared" si="24"/>
      </c>
      <c r="V276" s="81" t="str">
        <f>IF($B276="","",K276/(POWER(1+'Oneri mensili'!$C$8,$B276-1+1)))</f>
      </c>
      <c r="W276" s="80"/>
    </row>
    <row r="277" spans="1:23" s="85" customFormat="1">
      <c r="A277" s="76"/>
      <c r="B277" s="77" t="str">
        <f>IF($B276="","",IF($B276+1&gt;'Oneri mensili'!$C$4,"",Schema!B276+1))</f>
      </c>
      <c r="C277" s="78" t="str">
        <f>IF($B276="","",IF($B276+1&gt;'Oneri mensili'!$C$4,"",EOMONTH(C276,0)+1))</f>
      </c>
      <c r="D277" s="76"/>
      <c r="E277" s="78" t="str">
        <f>IF($B276="","",IF($B276+1&gt;'Oneri mensili'!$C$4,"",F276+1))</f>
      </c>
      <c r="F277" s="78" t="str">
        <f>IF($B276="","",IF($B276+1&gt;'Oneri mensili'!$C$4,"",EOMONTH(E277,0)))</f>
      </c>
      <c r="G277" s="79" t="str">
        <f>IF($B276="","",IF($B276+1&gt;'Oneri mensili'!$C$4,"",(F277-E277)+1)/DAY(F277))</f>
      </c>
      <c r="H277" s="80"/>
      <c r="I277" s="81" t="str">
        <f>IF($B276="","",IF($B276+1&gt;'Oneri mensili'!$C$4,"",I276-J276))</f>
      </c>
      <c r="J277" s="81" t="str">
        <f>IF($B276="","",IF($B276+1&gt;'Oneri mensili'!$C$4,"",IF(B276&lt;'Oneri mensili'!$C$11-1,0,IF('Oneri mensili'!$C$10=dropdowns!$B$186,'Oneri mensili'!$J$3,IF('Oneri mensili'!$C$10=dropdowns!$B$185,IFERROR('Oneri mensili'!$J$3-K277,0),0)))))</f>
      </c>
      <c r="K277" s="81" t="str">
        <f>IF($B276="","",IF($B276+1&gt;'Oneri mensili'!$C$4,"",G277*I277*'Oneri mensili'!$C$8))</f>
      </c>
      <c r="L277" s="81" t="str">
        <f t="shared" si="22"/>
      </c>
      <c r="M277" s="81" t="str">
        <f t="shared" si="20"/>
      </c>
      <c r="N277" s="80"/>
      <c r="O277" s="82" t="str">
        <f>IF($B277="","",'Oneri mensili'!$C$8)</f>
      </c>
      <c r="P277" s="82" t="str">
        <f>IF($B277="","",'Oneri mensili'!$C$8*(POWER(1+'Oneri mensili'!$C$8,$B277-1+1)))</f>
      </c>
      <c r="Q277" s="82" t="str">
        <f t="shared" si="23"/>
      </c>
      <c r="R277" s="80"/>
      <c r="S277" s="81" t="str">
        <f t="shared" si="21"/>
      </c>
      <c r="T277" s="81" t="str">
        <f>IF(S277="","",J277/(POWER(1+'Oneri mensili'!$C$8,$B277-1+1)))</f>
      </c>
      <c r="U277" s="83" t="str">
        <f t="shared" si="24"/>
      </c>
      <c r="V277" s="81" t="str">
        <f>IF($B277="","",K277/(POWER(1+'Oneri mensili'!$C$8,$B277-1+1)))</f>
      </c>
      <c r="W277" s="80"/>
    </row>
    <row r="278" spans="1:23" s="85" customFormat="1">
      <c r="A278" s="76"/>
      <c r="B278" s="77" t="str">
        <f>IF($B277="","",IF($B277+1&gt;'Oneri mensili'!$C$4,"",Schema!B277+1))</f>
      </c>
      <c r="C278" s="78" t="str">
        <f>IF($B277="","",IF($B277+1&gt;'Oneri mensili'!$C$4,"",EOMONTH(C277,0)+1))</f>
      </c>
      <c r="D278" s="76"/>
      <c r="E278" s="78" t="str">
        <f>IF($B277="","",IF($B277+1&gt;'Oneri mensili'!$C$4,"",F277+1))</f>
      </c>
      <c r="F278" s="78" t="str">
        <f>IF($B277="","",IF($B277+1&gt;'Oneri mensili'!$C$4,"",EOMONTH(E278,0)))</f>
      </c>
      <c r="G278" s="79" t="str">
        <f>IF($B277="","",IF($B277+1&gt;'Oneri mensili'!$C$4,"",(F278-E278)+1)/DAY(F278))</f>
      </c>
      <c r="H278" s="80"/>
      <c r="I278" s="81" t="str">
        <f>IF($B277="","",IF($B277+1&gt;'Oneri mensili'!$C$4,"",I277-J277))</f>
      </c>
      <c r="J278" s="81" t="str">
        <f>IF($B277="","",IF($B277+1&gt;'Oneri mensili'!$C$4,"",IF(B277&lt;'Oneri mensili'!$C$11-1,0,IF('Oneri mensili'!$C$10=dropdowns!$B$186,'Oneri mensili'!$J$3,IF('Oneri mensili'!$C$10=dropdowns!$B$185,IFERROR('Oneri mensili'!$J$3-K278,0),0)))))</f>
      </c>
      <c r="K278" s="81" t="str">
        <f>IF($B277="","",IF($B277+1&gt;'Oneri mensili'!$C$4,"",G278*I278*'Oneri mensili'!$C$8))</f>
      </c>
      <c r="L278" s="81" t="str">
        <f t="shared" si="22"/>
      </c>
      <c r="M278" s="81" t="str">
        <f t="shared" si="20"/>
      </c>
      <c r="N278" s="80"/>
      <c r="O278" s="82" t="str">
        <f>IF($B278="","",'Oneri mensili'!$C$8)</f>
      </c>
      <c r="P278" s="82" t="str">
        <f>IF($B278="","",'Oneri mensili'!$C$8*(POWER(1+'Oneri mensili'!$C$8,$B278-1+1)))</f>
      </c>
      <c r="Q278" s="82" t="str">
        <f t="shared" si="23"/>
      </c>
      <c r="R278" s="80"/>
      <c r="S278" s="81" t="str">
        <f t="shared" si="21"/>
      </c>
      <c r="T278" s="81" t="str">
        <f>IF(S278="","",J278/(POWER(1+'Oneri mensili'!$C$8,$B278-1+1)))</f>
      </c>
      <c r="U278" s="83" t="str">
        <f t="shared" si="24"/>
      </c>
      <c r="V278" s="81" t="str">
        <f>IF($B278="","",K278/(POWER(1+'Oneri mensili'!$C$8,$B278-1+1)))</f>
      </c>
      <c r="W278" s="80"/>
    </row>
    <row r="279" spans="1:23" s="85" customFormat="1">
      <c r="A279" s="76"/>
      <c r="B279" s="77" t="str">
        <f>IF($B278="","",IF($B278+1&gt;'Oneri mensili'!$C$4,"",Schema!B278+1))</f>
      </c>
      <c r="C279" s="78" t="str">
        <f>IF($B278="","",IF($B278+1&gt;'Oneri mensili'!$C$4,"",EOMONTH(C278,0)+1))</f>
      </c>
      <c r="D279" s="76"/>
      <c r="E279" s="78" t="str">
        <f>IF($B278="","",IF($B278+1&gt;'Oneri mensili'!$C$4,"",F278+1))</f>
      </c>
      <c r="F279" s="78" t="str">
        <f>IF($B278="","",IF($B278+1&gt;'Oneri mensili'!$C$4,"",EOMONTH(E279,0)))</f>
      </c>
      <c r="G279" s="79" t="str">
        <f>IF($B278="","",IF($B278+1&gt;'Oneri mensili'!$C$4,"",(F279-E279)+1)/DAY(F279))</f>
      </c>
      <c r="H279" s="80"/>
      <c r="I279" s="81" t="str">
        <f>IF($B278="","",IF($B278+1&gt;'Oneri mensili'!$C$4,"",I278-J278))</f>
      </c>
      <c r="J279" s="81" t="str">
        <f>IF($B278="","",IF($B278+1&gt;'Oneri mensili'!$C$4,"",IF(B278&lt;'Oneri mensili'!$C$11-1,0,IF('Oneri mensili'!$C$10=dropdowns!$B$186,'Oneri mensili'!$J$3,IF('Oneri mensili'!$C$10=dropdowns!$B$185,IFERROR('Oneri mensili'!$J$3-K279,0),0)))))</f>
      </c>
      <c r="K279" s="81" t="str">
        <f>IF($B278="","",IF($B278+1&gt;'Oneri mensili'!$C$4,"",G279*I279*'Oneri mensili'!$C$8))</f>
      </c>
      <c r="L279" s="81" t="str">
        <f t="shared" si="22"/>
      </c>
      <c r="M279" s="81" t="str">
        <f t="shared" si="20"/>
      </c>
      <c r="N279" s="80"/>
      <c r="O279" s="82" t="str">
        <f>IF($B279="","",'Oneri mensili'!$C$8)</f>
      </c>
      <c r="P279" s="82" t="str">
        <f>IF($B279="","",'Oneri mensili'!$C$8*(POWER(1+'Oneri mensili'!$C$8,$B279-1+1)))</f>
      </c>
      <c r="Q279" s="82" t="str">
        <f t="shared" si="23"/>
      </c>
      <c r="R279" s="80"/>
      <c r="S279" s="81" t="str">
        <f t="shared" si="21"/>
      </c>
      <c r="T279" s="81" t="str">
        <f>IF(S279="","",J279/(POWER(1+'Oneri mensili'!$C$8,$B279-1+1)))</f>
      </c>
      <c r="U279" s="83" t="str">
        <f t="shared" si="24"/>
      </c>
      <c r="V279" s="81" t="str">
        <f>IF($B279="","",K279/(POWER(1+'Oneri mensili'!$C$8,$B279-1+1)))</f>
      </c>
      <c r="W279" s="80"/>
    </row>
    <row r="280" spans="1:23" s="85" customFormat="1">
      <c r="A280" s="76"/>
      <c r="B280" s="77" t="str">
        <f>IF($B279="","",IF($B279+1&gt;'Oneri mensili'!$C$4,"",Schema!B279+1))</f>
      </c>
      <c r="C280" s="78" t="str">
        <f>IF($B279="","",IF($B279+1&gt;'Oneri mensili'!$C$4,"",EOMONTH(C279,0)+1))</f>
      </c>
      <c r="D280" s="76"/>
      <c r="E280" s="78" t="str">
        <f>IF($B279="","",IF($B279+1&gt;'Oneri mensili'!$C$4,"",F279+1))</f>
      </c>
      <c r="F280" s="78" t="str">
        <f>IF($B279="","",IF($B279+1&gt;'Oneri mensili'!$C$4,"",EOMONTH(E280,0)))</f>
      </c>
      <c r="G280" s="79" t="str">
        <f>IF($B279="","",IF($B279+1&gt;'Oneri mensili'!$C$4,"",(F280-E280)+1)/DAY(F280))</f>
      </c>
      <c r="H280" s="80"/>
      <c r="I280" s="81" t="str">
        <f>IF($B279="","",IF($B279+1&gt;'Oneri mensili'!$C$4,"",I279-J279))</f>
      </c>
      <c r="J280" s="81" t="str">
        <f>IF($B279="","",IF($B279+1&gt;'Oneri mensili'!$C$4,"",IF(B279&lt;'Oneri mensili'!$C$11-1,0,IF('Oneri mensili'!$C$10=dropdowns!$B$186,'Oneri mensili'!$J$3,IF('Oneri mensili'!$C$10=dropdowns!$B$185,IFERROR('Oneri mensili'!$J$3-K280,0),0)))))</f>
      </c>
      <c r="K280" s="81" t="str">
        <f>IF($B279="","",IF($B279+1&gt;'Oneri mensili'!$C$4,"",G280*I280*'Oneri mensili'!$C$8))</f>
      </c>
      <c r="L280" s="81" t="str">
        <f t="shared" si="22"/>
      </c>
      <c r="M280" s="81" t="str">
        <f t="shared" si="20"/>
      </c>
      <c r="N280" s="80"/>
      <c r="O280" s="82" t="str">
        <f>IF($B280="","",'Oneri mensili'!$C$8)</f>
      </c>
      <c r="P280" s="82" t="str">
        <f>IF($B280="","",'Oneri mensili'!$C$8*(POWER(1+'Oneri mensili'!$C$8,$B280-1+1)))</f>
      </c>
      <c r="Q280" s="82" t="str">
        <f t="shared" si="23"/>
      </c>
      <c r="R280" s="80"/>
      <c r="S280" s="81" t="str">
        <f t="shared" si="21"/>
      </c>
      <c r="T280" s="81" t="str">
        <f>IF(S280="","",J280/(POWER(1+'Oneri mensili'!$C$8,$B280-1+1)))</f>
      </c>
      <c r="U280" s="83" t="str">
        <f t="shared" si="24"/>
      </c>
      <c r="V280" s="81" t="str">
        <f>IF($B280="","",K280/(POWER(1+'Oneri mensili'!$C$8,$B280-1+1)))</f>
      </c>
      <c r="W280" s="80"/>
    </row>
    <row r="281" spans="1:23" s="85" customFormat="1">
      <c r="A281" s="76"/>
      <c r="B281" s="77" t="str">
        <f>IF($B280="","",IF($B280+1&gt;'Oneri mensili'!$C$4,"",Schema!B280+1))</f>
      </c>
      <c r="C281" s="78" t="str">
        <f>IF($B280="","",IF($B280+1&gt;'Oneri mensili'!$C$4,"",EOMONTH(C280,0)+1))</f>
      </c>
      <c r="D281" s="76"/>
      <c r="E281" s="78" t="str">
        <f>IF($B280="","",IF($B280+1&gt;'Oneri mensili'!$C$4,"",F280+1))</f>
      </c>
      <c r="F281" s="78" t="str">
        <f>IF($B280="","",IF($B280+1&gt;'Oneri mensili'!$C$4,"",EOMONTH(E281,0)))</f>
      </c>
      <c r="G281" s="79" t="str">
        <f>IF($B280="","",IF($B280+1&gt;'Oneri mensili'!$C$4,"",(F281-E281)+1)/DAY(F281))</f>
      </c>
      <c r="H281" s="80"/>
      <c r="I281" s="81" t="str">
        <f>IF($B280="","",IF($B280+1&gt;'Oneri mensili'!$C$4,"",I280-J280))</f>
      </c>
      <c r="J281" s="81" t="str">
        <f>IF($B280="","",IF($B280+1&gt;'Oneri mensili'!$C$4,"",IF(B280&lt;'Oneri mensili'!$C$11-1,0,IF('Oneri mensili'!$C$10=dropdowns!$B$186,'Oneri mensili'!$J$3,IF('Oneri mensili'!$C$10=dropdowns!$B$185,IFERROR('Oneri mensili'!$J$3-K281,0),0)))))</f>
      </c>
      <c r="K281" s="81" t="str">
        <f>IF($B280="","",IF($B280+1&gt;'Oneri mensili'!$C$4,"",G281*I281*'Oneri mensili'!$C$8))</f>
      </c>
      <c r="L281" s="81" t="str">
        <f t="shared" si="22"/>
      </c>
      <c r="M281" s="81" t="str">
        <f t="shared" si="20"/>
      </c>
      <c r="N281" s="80"/>
      <c r="O281" s="82" t="str">
        <f>IF($B281="","",'Oneri mensili'!$C$8)</f>
      </c>
      <c r="P281" s="82" t="str">
        <f>IF($B281="","",'Oneri mensili'!$C$8*(POWER(1+'Oneri mensili'!$C$8,$B281-1+1)))</f>
      </c>
      <c r="Q281" s="82" t="str">
        <f t="shared" si="23"/>
      </c>
      <c r="R281" s="80"/>
      <c r="S281" s="81" t="str">
        <f t="shared" si="21"/>
      </c>
      <c r="T281" s="81" t="str">
        <f>IF(S281="","",J281/(POWER(1+'Oneri mensili'!$C$8,$B281-1+1)))</f>
      </c>
      <c r="U281" s="83" t="str">
        <f t="shared" si="24"/>
      </c>
      <c r="V281" s="81" t="str">
        <f>IF($B281="","",K281/(POWER(1+'Oneri mensili'!$C$8,$B281-1+1)))</f>
      </c>
      <c r="W281" s="80"/>
    </row>
    <row r="282" spans="1:23" s="85" customFormat="1">
      <c r="A282" s="76"/>
      <c r="B282" s="77" t="str">
        <f>IF($B281="","",IF($B281+1&gt;'Oneri mensili'!$C$4,"",Schema!B281+1))</f>
      </c>
      <c r="C282" s="78" t="str">
        <f>IF($B281="","",IF($B281+1&gt;'Oneri mensili'!$C$4,"",EOMONTH(C281,0)+1))</f>
      </c>
      <c r="D282" s="76"/>
      <c r="E282" s="78" t="str">
        <f>IF($B281="","",IF($B281+1&gt;'Oneri mensili'!$C$4,"",F281+1))</f>
      </c>
      <c r="F282" s="78" t="str">
        <f>IF($B281="","",IF($B281+1&gt;'Oneri mensili'!$C$4,"",EOMONTH(E282,0)))</f>
      </c>
      <c r="G282" s="79" t="str">
        <f>IF($B281="","",IF($B281+1&gt;'Oneri mensili'!$C$4,"",(F282-E282)+1)/DAY(F282))</f>
      </c>
      <c r="H282" s="80"/>
      <c r="I282" s="81" t="str">
        <f>IF($B281="","",IF($B281+1&gt;'Oneri mensili'!$C$4,"",I281-J281))</f>
      </c>
      <c r="J282" s="81" t="str">
        <f>IF($B281="","",IF($B281+1&gt;'Oneri mensili'!$C$4,"",IF(B281&lt;'Oneri mensili'!$C$11-1,0,IF('Oneri mensili'!$C$10=dropdowns!$B$186,'Oneri mensili'!$J$3,IF('Oneri mensili'!$C$10=dropdowns!$B$185,IFERROR('Oneri mensili'!$J$3-K282,0),0)))))</f>
      </c>
      <c r="K282" s="81" t="str">
        <f>IF($B281="","",IF($B281+1&gt;'Oneri mensili'!$C$4,"",G282*I282*'Oneri mensili'!$C$8))</f>
      </c>
      <c r="L282" s="81" t="str">
        <f t="shared" si="22"/>
      </c>
      <c r="M282" s="81" t="str">
        <f t="shared" si="20"/>
      </c>
      <c r="N282" s="80"/>
      <c r="O282" s="82" t="str">
        <f>IF($B282="","",'Oneri mensili'!$C$8)</f>
      </c>
      <c r="P282" s="82" t="str">
        <f>IF($B282="","",'Oneri mensili'!$C$8*(POWER(1+'Oneri mensili'!$C$8,$B282-1+1)))</f>
      </c>
      <c r="Q282" s="82" t="str">
        <f t="shared" si="23"/>
      </c>
      <c r="R282" s="80"/>
      <c r="S282" s="81" t="str">
        <f t="shared" si="21"/>
      </c>
      <c r="T282" s="81" t="str">
        <f>IF(S282="","",J282/(POWER(1+'Oneri mensili'!$C$8,$B282-1+1)))</f>
      </c>
      <c r="U282" s="83" t="str">
        <f t="shared" si="24"/>
      </c>
      <c r="V282" s="81" t="str">
        <f>IF($B282="","",K282/(POWER(1+'Oneri mensili'!$C$8,$B282-1+1)))</f>
      </c>
      <c r="W282" s="80"/>
    </row>
    <row r="283" spans="1:23" s="85" customFormat="1">
      <c r="A283" s="76"/>
      <c r="B283" s="77" t="str">
        <f>IF($B282="","",IF($B282+1&gt;'Oneri mensili'!$C$4,"",Schema!B282+1))</f>
      </c>
      <c r="C283" s="78" t="str">
        <f>IF($B282="","",IF($B282+1&gt;'Oneri mensili'!$C$4,"",EOMONTH(C282,0)+1))</f>
      </c>
      <c r="D283" s="76"/>
      <c r="E283" s="78" t="str">
        <f>IF($B282="","",IF($B282+1&gt;'Oneri mensili'!$C$4,"",F282+1))</f>
      </c>
      <c r="F283" s="78" t="str">
        <f>IF($B282="","",IF($B282+1&gt;'Oneri mensili'!$C$4,"",EOMONTH(E283,0)))</f>
      </c>
      <c r="G283" s="79" t="str">
        <f>IF($B282="","",IF($B282+1&gt;'Oneri mensili'!$C$4,"",(F283-E283)+1)/DAY(F283))</f>
      </c>
      <c r="H283" s="80"/>
      <c r="I283" s="81" t="str">
        <f>IF($B282="","",IF($B282+1&gt;'Oneri mensili'!$C$4,"",I282-J282))</f>
      </c>
      <c r="J283" s="81" t="str">
        <f>IF($B282="","",IF($B282+1&gt;'Oneri mensili'!$C$4,"",IF(B282&lt;'Oneri mensili'!$C$11-1,0,IF('Oneri mensili'!$C$10=dropdowns!$B$186,'Oneri mensili'!$J$3,IF('Oneri mensili'!$C$10=dropdowns!$B$185,IFERROR('Oneri mensili'!$J$3-K283,0),0)))))</f>
      </c>
      <c r="K283" s="81" t="str">
        <f>IF($B282="","",IF($B282+1&gt;'Oneri mensili'!$C$4,"",G283*I283*'Oneri mensili'!$C$8))</f>
      </c>
      <c r="L283" s="81" t="str">
        <f t="shared" si="22"/>
      </c>
      <c r="M283" s="81" t="str">
        <f t="shared" si="20"/>
      </c>
      <c r="N283" s="80"/>
      <c r="O283" s="82" t="str">
        <f>IF($B283="","",'Oneri mensili'!$C$8)</f>
      </c>
      <c r="P283" s="82" t="str">
        <f>IF($B283="","",'Oneri mensili'!$C$8*(POWER(1+'Oneri mensili'!$C$8,$B283-1+1)))</f>
      </c>
      <c r="Q283" s="82" t="str">
        <f t="shared" si="23"/>
      </c>
      <c r="R283" s="80"/>
      <c r="S283" s="81" t="str">
        <f t="shared" si="21"/>
      </c>
      <c r="T283" s="81" t="str">
        <f>IF(S283="","",J283/(POWER(1+'Oneri mensili'!$C$8,$B283-1+1)))</f>
      </c>
      <c r="U283" s="83" t="str">
        <f t="shared" si="24"/>
      </c>
      <c r="V283" s="81" t="str">
        <f>IF($B283="","",K283/(POWER(1+'Oneri mensili'!$C$8,$B283-1+1)))</f>
      </c>
      <c r="W283" s="80"/>
    </row>
    <row r="284" spans="1:23" s="85" customFormat="1">
      <c r="A284" s="76"/>
      <c r="B284" s="77" t="str">
        <f>IF($B283="","",IF($B283+1&gt;'Oneri mensili'!$C$4,"",Schema!B283+1))</f>
      </c>
      <c r="C284" s="78" t="str">
        <f>IF($B283="","",IF($B283+1&gt;'Oneri mensili'!$C$4,"",EOMONTH(C283,0)+1))</f>
      </c>
      <c r="D284" s="76"/>
      <c r="E284" s="78" t="str">
        <f>IF($B283="","",IF($B283+1&gt;'Oneri mensili'!$C$4,"",F283+1))</f>
      </c>
      <c r="F284" s="78" t="str">
        <f>IF($B283="","",IF($B283+1&gt;'Oneri mensili'!$C$4,"",EOMONTH(E284,0)))</f>
      </c>
      <c r="G284" s="79" t="str">
        <f>IF($B283="","",IF($B283+1&gt;'Oneri mensili'!$C$4,"",(F284-E284)+1)/DAY(F284))</f>
      </c>
      <c r="H284" s="80"/>
      <c r="I284" s="81" t="str">
        <f>IF($B283="","",IF($B283+1&gt;'Oneri mensili'!$C$4,"",I283-J283))</f>
      </c>
      <c r="J284" s="81" t="str">
        <f>IF($B283="","",IF($B283+1&gt;'Oneri mensili'!$C$4,"",IF(B283&lt;'Oneri mensili'!$C$11-1,0,IF('Oneri mensili'!$C$10=dropdowns!$B$186,'Oneri mensili'!$J$3,IF('Oneri mensili'!$C$10=dropdowns!$B$185,IFERROR('Oneri mensili'!$J$3-K284,0),0)))))</f>
      </c>
      <c r="K284" s="81" t="str">
        <f>IF($B283="","",IF($B283+1&gt;'Oneri mensili'!$C$4,"",G284*I284*'Oneri mensili'!$C$8))</f>
      </c>
      <c r="L284" s="81" t="str">
        <f t="shared" si="22"/>
      </c>
      <c r="M284" s="81" t="str">
        <f t="shared" si="20"/>
      </c>
      <c r="N284" s="80"/>
      <c r="O284" s="82" t="str">
        <f>IF($B284="","",'Oneri mensili'!$C$8)</f>
      </c>
      <c r="P284" s="82" t="str">
        <f>IF($B284="","",'Oneri mensili'!$C$8*(POWER(1+'Oneri mensili'!$C$8,$B284-1+1)))</f>
      </c>
      <c r="Q284" s="82" t="str">
        <f t="shared" si="23"/>
      </c>
      <c r="R284" s="80"/>
      <c r="S284" s="81" t="str">
        <f t="shared" si="21"/>
      </c>
      <c r="T284" s="81" t="str">
        <f>IF(S284="","",J284/(POWER(1+'Oneri mensili'!$C$8,$B284-1+1)))</f>
      </c>
      <c r="U284" s="83" t="str">
        <f t="shared" si="24"/>
      </c>
      <c r="V284" s="81" t="str">
        <f>IF($B284="","",K284/(POWER(1+'Oneri mensili'!$C$8,$B284-1+1)))</f>
      </c>
      <c r="W284" s="80"/>
    </row>
    <row r="285" spans="1:23" s="85" customFormat="1">
      <c r="A285" s="76"/>
      <c r="B285" s="77" t="str">
        <f>IF($B284="","",IF($B284+1&gt;'Oneri mensili'!$C$4,"",Schema!B284+1))</f>
      </c>
      <c r="C285" s="78" t="str">
        <f>IF($B284="","",IF($B284+1&gt;'Oneri mensili'!$C$4,"",EOMONTH(C284,0)+1))</f>
      </c>
      <c r="D285" s="76"/>
      <c r="E285" s="78" t="str">
        <f>IF($B284="","",IF($B284+1&gt;'Oneri mensili'!$C$4,"",F284+1))</f>
      </c>
      <c r="F285" s="78" t="str">
        <f>IF($B284="","",IF($B284+1&gt;'Oneri mensili'!$C$4,"",EOMONTH(E285,0)))</f>
      </c>
      <c r="G285" s="79" t="str">
        <f>IF($B284="","",IF($B284+1&gt;'Oneri mensili'!$C$4,"",(F285-E285)+1)/DAY(F285))</f>
      </c>
      <c r="H285" s="80"/>
      <c r="I285" s="81" t="str">
        <f>IF($B284="","",IF($B284+1&gt;'Oneri mensili'!$C$4,"",I284-J284))</f>
      </c>
      <c r="J285" s="81" t="str">
        <f>IF($B284="","",IF($B284+1&gt;'Oneri mensili'!$C$4,"",IF(B284&lt;'Oneri mensili'!$C$11-1,0,IF('Oneri mensili'!$C$10=dropdowns!$B$186,'Oneri mensili'!$J$3,IF('Oneri mensili'!$C$10=dropdowns!$B$185,IFERROR('Oneri mensili'!$J$3-K285,0),0)))))</f>
      </c>
      <c r="K285" s="81" t="str">
        <f>IF($B284="","",IF($B284+1&gt;'Oneri mensili'!$C$4,"",G285*I285*'Oneri mensili'!$C$8))</f>
      </c>
      <c r="L285" s="81" t="str">
        <f t="shared" si="22"/>
      </c>
      <c r="M285" s="81" t="str">
        <f t="shared" si="20"/>
      </c>
      <c r="N285" s="80"/>
      <c r="O285" s="82" t="str">
        <f>IF($B285="","",'Oneri mensili'!$C$8)</f>
      </c>
      <c r="P285" s="82" t="str">
        <f>IF($B285="","",'Oneri mensili'!$C$8*(POWER(1+'Oneri mensili'!$C$8,$B285-1+1)))</f>
      </c>
      <c r="Q285" s="82" t="str">
        <f t="shared" si="23"/>
      </c>
      <c r="R285" s="80"/>
      <c r="S285" s="81" t="str">
        <f t="shared" si="21"/>
      </c>
      <c r="T285" s="81" t="str">
        <f>IF(S285="","",J285/(POWER(1+'Oneri mensili'!$C$8,$B285-1+1)))</f>
      </c>
      <c r="U285" s="83" t="str">
        <f t="shared" si="24"/>
      </c>
      <c r="V285" s="81" t="str">
        <f>IF($B285="","",K285/(POWER(1+'Oneri mensili'!$C$8,$B285-1+1)))</f>
      </c>
      <c r="W285" s="80"/>
    </row>
    <row r="286" spans="1:23" s="85" customFormat="1">
      <c r="A286" s="76"/>
      <c r="B286" s="77" t="str">
        <f>IF($B285="","",IF($B285+1&gt;'Oneri mensili'!$C$4,"",Schema!B285+1))</f>
      </c>
      <c r="C286" s="78" t="str">
        <f>IF($B285="","",IF($B285+1&gt;'Oneri mensili'!$C$4,"",EOMONTH(C285,0)+1))</f>
      </c>
      <c r="D286" s="76"/>
      <c r="E286" s="78" t="str">
        <f>IF($B285="","",IF($B285+1&gt;'Oneri mensili'!$C$4,"",F285+1))</f>
      </c>
      <c r="F286" s="78" t="str">
        <f>IF($B285="","",IF($B285+1&gt;'Oneri mensili'!$C$4,"",EOMONTH(E286,0)))</f>
      </c>
      <c r="G286" s="79" t="str">
        <f>IF($B285="","",IF($B285+1&gt;'Oneri mensili'!$C$4,"",(F286-E286)+1)/DAY(F286))</f>
      </c>
      <c r="H286" s="80"/>
      <c r="I286" s="81" t="str">
        <f>IF($B285="","",IF($B285+1&gt;'Oneri mensili'!$C$4,"",I285-J285))</f>
      </c>
      <c r="J286" s="81" t="str">
        <f>IF($B285="","",IF($B285+1&gt;'Oneri mensili'!$C$4,"",IF(B285&lt;'Oneri mensili'!$C$11-1,0,IF('Oneri mensili'!$C$10=dropdowns!$B$186,'Oneri mensili'!$J$3,IF('Oneri mensili'!$C$10=dropdowns!$B$185,IFERROR('Oneri mensili'!$J$3-K286,0),0)))))</f>
      </c>
      <c r="K286" s="81" t="str">
        <f>IF($B285="","",IF($B285+1&gt;'Oneri mensili'!$C$4,"",G286*I286*'Oneri mensili'!$C$8))</f>
      </c>
      <c r="L286" s="81" t="str">
        <f t="shared" si="22"/>
      </c>
      <c r="M286" s="81" t="str">
        <f t="shared" si="20"/>
      </c>
      <c r="N286" s="80"/>
      <c r="O286" s="82" t="str">
        <f>IF($B286="","",'Oneri mensili'!$C$8)</f>
      </c>
      <c r="P286" s="82" t="str">
        <f>IF($B286="","",'Oneri mensili'!$C$8*(POWER(1+'Oneri mensili'!$C$8,$B286-1+1)))</f>
      </c>
      <c r="Q286" s="82" t="str">
        <f t="shared" si="23"/>
      </c>
      <c r="R286" s="80"/>
      <c r="S286" s="81" t="str">
        <f t="shared" si="21"/>
      </c>
      <c r="T286" s="81" t="str">
        <f>IF(S286="","",J286/(POWER(1+'Oneri mensili'!$C$8,$B286-1+1)))</f>
      </c>
      <c r="U286" s="83" t="str">
        <f t="shared" si="24"/>
      </c>
      <c r="V286" s="81" t="str">
        <f>IF($B286="","",K286/(POWER(1+'Oneri mensili'!$C$8,$B286-1+1)))</f>
      </c>
      <c r="W286" s="80"/>
    </row>
    <row r="287" spans="1:23" s="85" customFormat="1">
      <c r="A287" s="76"/>
      <c r="B287" s="77" t="str">
        <f>IF($B286="","",IF($B286+1&gt;'Oneri mensili'!$C$4,"",Schema!B286+1))</f>
      </c>
      <c r="C287" s="78" t="str">
        <f>IF($B286="","",IF($B286+1&gt;'Oneri mensili'!$C$4,"",EOMONTH(C286,0)+1))</f>
      </c>
      <c r="D287" s="76"/>
      <c r="E287" s="78" t="str">
        <f>IF($B286="","",IF($B286+1&gt;'Oneri mensili'!$C$4,"",F286+1))</f>
      </c>
      <c r="F287" s="78" t="str">
        <f>IF($B286="","",IF($B286+1&gt;'Oneri mensili'!$C$4,"",EOMONTH(E287,0)))</f>
      </c>
      <c r="G287" s="79" t="str">
        <f>IF($B286="","",IF($B286+1&gt;'Oneri mensili'!$C$4,"",(F287-E287)+1)/DAY(F287))</f>
      </c>
      <c r="H287" s="80"/>
      <c r="I287" s="81" t="str">
        <f>IF($B286="","",IF($B286+1&gt;'Oneri mensili'!$C$4,"",I286-J286))</f>
      </c>
      <c r="J287" s="81" t="str">
        <f>IF($B286="","",IF($B286+1&gt;'Oneri mensili'!$C$4,"",IF(B286&lt;'Oneri mensili'!$C$11-1,0,IF('Oneri mensili'!$C$10=dropdowns!$B$186,'Oneri mensili'!$J$3,IF('Oneri mensili'!$C$10=dropdowns!$B$185,IFERROR('Oneri mensili'!$J$3-K287,0),0)))))</f>
      </c>
      <c r="K287" s="81" t="str">
        <f>IF($B286="","",IF($B286+1&gt;'Oneri mensili'!$C$4,"",G287*I287*'Oneri mensili'!$C$8))</f>
      </c>
      <c r="L287" s="81" t="str">
        <f t="shared" si="22"/>
      </c>
      <c r="M287" s="81" t="str">
        <f t="shared" si="20"/>
      </c>
      <c r="N287" s="80"/>
      <c r="O287" s="82" t="str">
        <f>IF($B287="","",'Oneri mensili'!$C$8)</f>
      </c>
      <c r="P287" s="82" t="str">
        <f>IF($B287="","",'Oneri mensili'!$C$8*(POWER(1+'Oneri mensili'!$C$8,$B287-1+1)))</f>
      </c>
      <c r="Q287" s="82" t="str">
        <f t="shared" si="23"/>
      </c>
      <c r="R287" s="80"/>
      <c r="S287" s="81" t="str">
        <f t="shared" si="21"/>
      </c>
      <c r="T287" s="81" t="str">
        <f>IF(S287="","",J287/(POWER(1+'Oneri mensili'!$C$8,$B287-1+1)))</f>
      </c>
      <c r="U287" s="83" t="str">
        <f t="shared" si="24"/>
      </c>
      <c r="V287" s="81" t="str">
        <f>IF($B287="","",K287/(POWER(1+'Oneri mensili'!$C$8,$B287-1+1)))</f>
      </c>
      <c r="W287" s="80"/>
    </row>
    <row r="288" spans="1:23" s="85" customFormat="1">
      <c r="A288" s="76"/>
      <c r="B288" s="77" t="str">
        <f>IF($B287="","",IF($B287+1&gt;'Oneri mensili'!$C$4,"",Schema!B287+1))</f>
      </c>
      <c r="C288" s="78" t="str">
        <f>IF($B287="","",IF($B287+1&gt;'Oneri mensili'!$C$4,"",EOMONTH(C287,0)+1))</f>
      </c>
      <c r="D288" s="76"/>
      <c r="E288" s="78" t="str">
        <f>IF($B287="","",IF($B287+1&gt;'Oneri mensili'!$C$4,"",F287+1))</f>
      </c>
      <c r="F288" s="78" t="str">
        <f>IF($B287="","",IF($B287+1&gt;'Oneri mensili'!$C$4,"",EOMONTH(E288,0)))</f>
      </c>
      <c r="G288" s="79" t="str">
        <f>IF($B287="","",IF($B287+1&gt;'Oneri mensili'!$C$4,"",(F288-E288)+1)/DAY(F288))</f>
      </c>
      <c r="H288" s="80"/>
      <c r="I288" s="81" t="str">
        <f>IF($B287="","",IF($B287+1&gt;'Oneri mensili'!$C$4,"",I287-J287))</f>
      </c>
      <c r="J288" s="81" t="str">
        <f>IF($B287="","",IF($B287+1&gt;'Oneri mensili'!$C$4,"",IF(B287&lt;'Oneri mensili'!$C$11-1,0,IF('Oneri mensili'!$C$10=dropdowns!$B$186,'Oneri mensili'!$J$3,IF('Oneri mensili'!$C$10=dropdowns!$B$185,IFERROR('Oneri mensili'!$J$3-K288,0),0)))))</f>
      </c>
      <c r="K288" s="81" t="str">
        <f>IF($B287="","",IF($B287+1&gt;'Oneri mensili'!$C$4,"",G288*I288*'Oneri mensili'!$C$8))</f>
      </c>
      <c r="L288" s="81" t="str">
        <f t="shared" si="22"/>
      </c>
      <c r="M288" s="81" t="str">
        <f t="shared" si="20"/>
      </c>
      <c r="N288" s="80"/>
      <c r="O288" s="82" t="str">
        <f>IF($B288="","",'Oneri mensili'!$C$8)</f>
      </c>
      <c r="P288" s="82" t="str">
        <f>IF($B288="","",'Oneri mensili'!$C$8*(POWER(1+'Oneri mensili'!$C$8,$B288-1+1)))</f>
      </c>
      <c r="Q288" s="82" t="str">
        <f t="shared" si="23"/>
      </c>
      <c r="R288" s="80"/>
      <c r="S288" s="81" t="str">
        <f t="shared" si="21"/>
      </c>
      <c r="T288" s="81" t="str">
        <f>IF(S288="","",J288/(POWER(1+'Oneri mensili'!$C$8,$B288-1+1)))</f>
      </c>
      <c r="U288" s="83" t="str">
        <f t="shared" si="24"/>
      </c>
      <c r="V288" s="81" t="str">
        <f>IF($B288="","",K288/(POWER(1+'Oneri mensili'!$C$8,$B288-1+1)))</f>
      </c>
      <c r="W288" s="80"/>
    </row>
    <row r="289" spans="1:23" s="85" customFormat="1">
      <c r="A289" s="76"/>
      <c r="B289" s="77" t="str">
        <f>IF($B288="","",IF($B288+1&gt;'Oneri mensili'!$C$4,"",Schema!B288+1))</f>
      </c>
      <c r="C289" s="78" t="str">
        <f>IF($B288="","",IF($B288+1&gt;'Oneri mensili'!$C$4,"",EOMONTH(C288,0)+1))</f>
      </c>
      <c r="D289" s="76"/>
      <c r="E289" s="78" t="str">
        <f>IF($B288="","",IF($B288+1&gt;'Oneri mensili'!$C$4,"",F288+1))</f>
      </c>
      <c r="F289" s="78" t="str">
        <f>IF($B288="","",IF($B288+1&gt;'Oneri mensili'!$C$4,"",EOMONTH(E289,0)))</f>
      </c>
      <c r="G289" s="79" t="str">
        <f>IF($B288="","",IF($B288+1&gt;'Oneri mensili'!$C$4,"",(F289-E289)+1)/DAY(F289))</f>
      </c>
      <c r="H289" s="80"/>
      <c r="I289" s="81" t="str">
        <f>IF($B288="","",IF($B288+1&gt;'Oneri mensili'!$C$4,"",I288-J288))</f>
      </c>
      <c r="J289" s="81" t="str">
        <f>IF($B288="","",IF($B288+1&gt;'Oneri mensili'!$C$4,"",IF(B288&lt;'Oneri mensili'!$C$11-1,0,IF('Oneri mensili'!$C$10=dropdowns!$B$186,'Oneri mensili'!$J$3,IF('Oneri mensili'!$C$10=dropdowns!$B$185,IFERROR('Oneri mensili'!$J$3-K289,0),0)))))</f>
      </c>
      <c r="K289" s="81" t="str">
        <f>IF($B288="","",IF($B288+1&gt;'Oneri mensili'!$C$4,"",G289*I289*'Oneri mensili'!$C$8))</f>
      </c>
      <c r="L289" s="81" t="str">
        <f t="shared" si="22"/>
      </c>
      <c r="M289" s="81" t="str">
        <f t="shared" si="20"/>
      </c>
      <c r="N289" s="80"/>
      <c r="O289" s="82" t="str">
        <f>IF($B289="","",'Oneri mensili'!$C$8)</f>
      </c>
      <c r="P289" s="82" t="str">
        <f>IF($B289="","",'Oneri mensili'!$C$8*(POWER(1+'Oneri mensili'!$C$8,$B289-1+1)))</f>
      </c>
      <c r="Q289" s="82" t="str">
        <f t="shared" si="23"/>
      </c>
      <c r="R289" s="80"/>
      <c r="S289" s="81" t="str">
        <f t="shared" si="21"/>
      </c>
      <c r="T289" s="81" t="str">
        <f>IF(S289="","",J289/(POWER(1+'Oneri mensili'!$C$8,$B289-1+1)))</f>
      </c>
      <c r="U289" s="83" t="str">
        <f t="shared" si="24"/>
      </c>
      <c r="V289" s="81" t="str">
        <f>IF($B289="","",K289/(POWER(1+'Oneri mensili'!$C$8,$B289-1+1)))</f>
      </c>
      <c r="W289" s="80"/>
    </row>
    <row r="290" spans="1:23" s="85" customFormat="1">
      <c r="A290" s="76"/>
      <c r="B290" s="77" t="str">
        <f>IF($B289="","",IF($B289+1&gt;'Oneri mensili'!$C$4,"",Schema!B289+1))</f>
      </c>
      <c r="C290" s="78" t="str">
        <f>IF($B289="","",IF($B289+1&gt;'Oneri mensili'!$C$4,"",EOMONTH(C289,0)+1))</f>
      </c>
      <c r="D290" s="76"/>
      <c r="E290" s="78" t="str">
        <f>IF($B289="","",IF($B289+1&gt;'Oneri mensili'!$C$4,"",F289+1))</f>
      </c>
      <c r="F290" s="78" t="str">
        <f>IF($B289="","",IF($B289+1&gt;'Oneri mensili'!$C$4,"",EOMONTH(E290,0)))</f>
      </c>
      <c r="G290" s="79" t="str">
        <f>IF($B289="","",IF($B289+1&gt;'Oneri mensili'!$C$4,"",(F290-E290)+1)/DAY(F290))</f>
      </c>
      <c r="H290" s="80"/>
      <c r="I290" s="81" t="str">
        <f>IF($B289="","",IF($B289+1&gt;'Oneri mensili'!$C$4,"",I289-J289))</f>
      </c>
      <c r="J290" s="81" t="str">
        <f>IF($B289="","",IF($B289+1&gt;'Oneri mensili'!$C$4,"",IF(B289&lt;'Oneri mensili'!$C$11-1,0,IF('Oneri mensili'!$C$10=dropdowns!$B$186,'Oneri mensili'!$J$3,IF('Oneri mensili'!$C$10=dropdowns!$B$185,IFERROR('Oneri mensili'!$J$3-K290,0),0)))))</f>
      </c>
      <c r="K290" s="81" t="str">
        <f>IF($B289="","",IF($B289+1&gt;'Oneri mensili'!$C$4,"",G290*I290*'Oneri mensili'!$C$8))</f>
      </c>
      <c r="L290" s="81" t="str">
        <f t="shared" si="22"/>
      </c>
      <c r="M290" s="81" t="str">
        <f t="shared" si="20"/>
      </c>
      <c r="N290" s="80"/>
      <c r="O290" s="82" t="str">
        <f>IF($B290="","",'Oneri mensili'!$C$8)</f>
      </c>
      <c r="P290" s="82" t="str">
        <f>IF($B290="","",'Oneri mensili'!$C$8*(POWER(1+'Oneri mensili'!$C$8,$B290-1+1)))</f>
      </c>
      <c r="Q290" s="82" t="str">
        <f t="shared" si="23"/>
      </c>
      <c r="R290" s="80"/>
      <c r="S290" s="81" t="str">
        <f t="shared" si="21"/>
      </c>
      <c r="T290" s="81" t="str">
        <f>IF(S290="","",J290/(POWER(1+'Oneri mensili'!$C$8,$B290-1+1)))</f>
      </c>
      <c r="U290" s="83" t="str">
        <f t="shared" si="24"/>
      </c>
      <c r="V290" s="81" t="str">
        <f>IF($B290="","",K290/(POWER(1+'Oneri mensili'!$C$8,$B290-1+1)))</f>
      </c>
      <c r="W290" s="80"/>
    </row>
    <row r="291" spans="1:23" s="85" customFormat="1">
      <c r="A291" s="76"/>
      <c r="B291" s="77" t="str">
        <f>IF($B290="","",IF($B290+1&gt;'Oneri mensili'!$C$4,"",Schema!B290+1))</f>
      </c>
      <c r="C291" s="78" t="str">
        <f>IF($B290="","",IF($B290+1&gt;'Oneri mensili'!$C$4,"",EOMONTH(C290,0)+1))</f>
      </c>
      <c r="D291" s="76"/>
      <c r="E291" s="78" t="str">
        <f>IF($B290="","",IF($B290+1&gt;'Oneri mensili'!$C$4,"",F290+1))</f>
      </c>
      <c r="F291" s="78" t="str">
        <f>IF($B290="","",IF($B290+1&gt;'Oneri mensili'!$C$4,"",EOMONTH(E291,0)))</f>
      </c>
      <c r="G291" s="79" t="str">
        <f>IF($B290="","",IF($B290+1&gt;'Oneri mensili'!$C$4,"",(F291-E291)+1)/DAY(F291))</f>
      </c>
      <c r="H291" s="80"/>
      <c r="I291" s="81" t="str">
        <f>IF($B290="","",IF($B290+1&gt;'Oneri mensili'!$C$4,"",I290-J290))</f>
      </c>
      <c r="J291" s="81" t="str">
        <f>IF($B290="","",IF($B290+1&gt;'Oneri mensili'!$C$4,"",IF(B290&lt;'Oneri mensili'!$C$11-1,0,IF('Oneri mensili'!$C$10=dropdowns!$B$186,'Oneri mensili'!$J$3,IF('Oneri mensili'!$C$10=dropdowns!$B$185,IFERROR('Oneri mensili'!$J$3-K291,0),0)))))</f>
      </c>
      <c r="K291" s="81" t="str">
        <f>IF($B290="","",IF($B290+1&gt;'Oneri mensili'!$C$4,"",G291*I291*'Oneri mensili'!$C$8))</f>
      </c>
      <c r="L291" s="81" t="str">
        <f t="shared" si="22"/>
      </c>
      <c r="M291" s="81" t="str">
        <f t="shared" si="20"/>
      </c>
      <c r="N291" s="80"/>
      <c r="O291" s="82" t="str">
        <f>IF($B291="","",'Oneri mensili'!$C$8)</f>
      </c>
      <c r="P291" s="82" t="str">
        <f>IF($B291="","",'Oneri mensili'!$C$8*(POWER(1+'Oneri mensili'!$C$8,$B291-1+1)))</f>
      </c>
      <c r="Q291" s="82" t="str">
        <f t="shared" si="23"/>
      </c>
      <c r="R291" s="80"/>
      <c r="S291" s="81" t="str">
        <f t="shared" si="21"/>
      </c>
      <c r="T291" s="81" t="str">
        <f>IF(S291="","",J291/(POWER(1+'Oneri mensili'!$C$8,$B291-1+1)))</f>
      </c>
      <c r="U291" s="83" t="str">
        <f t="shared" si="24"/>
      </c>
      <c r="V291" s="81" t="str">
        <f>IF($B291="","",K291/(POWER(1+'Oneri mensili'!$C$8,$B291-1+1)))</f>
      </c>
      <c r="W291" s="80"/>
    </row>
    <row r="292" spans="1:23" s="85" customFormat="1">
      <c r="A292" s="76"/>
      <c r="B292" s="77" t="str">
        <f>IF($B291="","",IF($B291+1&gt;'Oneri mensili'!$C$4,"",Schema!B291+1))</f>
      </c>
      <c r="C292" s="78" t="str">
        <f>IF($B291="","",IF($B291+1&gt;'Oneri mensili'!$C$4,"",EOMONTH(C291,0)+1))</f>
      </c>
      <c r="D292" s="76"/>
      <c r="E292" s="78" t="str">
        <f>IF($B291="","",IF($B291+1&gt;'Oneri mensili'!$C$4,"",F291+1))</f>
      </c>
      <c r="F292" s="78" t="str">
        <f>IF($B291="","",IF($B291+1&gt;'Oneri mensili'!$C$4,"",EOMONTH(E292,0)))</f>
      </c>
      <c r="G292" s="79" t="str">
        <f>IF($B291="","",IF($B291+1&gt;'Oneri mensili'!$C$4,"",(F292-E292)+1)/DAY(F292))</f>
      </c>
      <c r="H292" s="80"/>
      <c r="I292" s="81" t="str">
        <f>IF($B291="","",IF($B291+1&gt;'Oneri mensili'!$C$4,"",I291-J291))</f>
      </c>
      <c r="J292" s="81" t="str">
        <f>IF($B291="","",IF($B291+1&gt;'Oneri mensili'!$C$4,"",IF(B291&lt;'Oneri mensili'!$C$11-1,0,IF('Oneri mensili'!$C$10=dropdowns!$B$186,'Oneri mensili'!$J$3,IF('Oneri mensili'!$C$10=dropdowns!$B$185,IFERROR('Oneri mensili'!$J$3-K292,0),0)))))</f>
      </c>
      <c r="K292" s="81" t="str">
        <f>IF($B291="","",IF($B291+1&gt;'Oneri mensili'!$C$4,"",G292*I292*'Oneri mensili'!$C$8))</f>
      </c>
      <c r="L292" s="81" t="str">
        <f t="shared" si="22"/>
      </c>
      <c r="M292" s="81" t="str">
        <f t="shared" si="20"/>
      </c>
      <c r="N292" s="80"/>
      <c r="O292" s="82" t="str">
        <f>IF($B292="","",'Oneri mensili'!$C$8)</f>
      </c>
      <c r="P292" s="82" t="str">
        <f>IF($B292="","",'Oneri mensili'!$C$8*(POWER(1+'Oneri mensili'!$C$8,$B292-1+1)))</f>
      </c>
      <c r="Q292" s="82" t="str">
        <f t="shared" si="23"/>
      </c>
      <c r="R292" s="80"/>
      <c r="S292" s="81" t="str">
        <f t="shared" si="21"/>
      </c>
      <c r="T292" s="81" t="str">
        <f>IF(S292="","",J292/(POWER(1+'Oneri mensili'!$C$8,$B292-1+1)))</f>
      </c>
      <c r="U292" s="83" t="str">
        <f t="shared" si="24"/>
      </c>
      <c r="V292" s="81" t="str">
        <f>IF($B292="","",K292/(POWER(1+'Oneri mensili'!$C$8,$B292-1+1)))</f>
      </c>
      <c r="W292" s="80"/>
    </row>
    <row r="293" spans="1:23" s="85" customFormat="1">
      <c r="A293" s="76"/>
      <c r="B293" s="77" t="str">
        <f>IF($B292="","",IF($B292+1&gt;'Oneri mensili'!$C$4,"",Schema!B292+1))</f>
      </c>
      <c r="C293" s="78" t="str">
        <f>IF($B292="","",IF($B292+1&gt;'Oneri mensili'!$C$4,"",EOMONTH(C292,0)+1))</f>
      </c>
      <c r="D293" s="76"/>
      <c r="E293" s="78" t="str">
        <f>IF($B292="","",IF($B292+1&gt;'Oneri mensili'!$C$4,"",F292+1))</f>
      </c>
      <c r="F293" s="78" t="str">
        <f>IF($B292="","",IF($B292+1&gt;'Oneri mensili'!$C$4,"",EOMONTH(E293,0)))</f>
      </c>
      <c r="G293" s="79" t="str">
        <f>IF($B292="","",IF($B292+1&gt;'Oneri mensili'!$C$4,"",(F293-E293)+1)/DAY(F293))</f>
      </c>
      <c r="H293" s="80"/>
      <c r="I293" s="81" t="str">
        <f>IF($B292="","",IF($B292+1&gt;'Oneri mensili'!$C$4,"",I292-J292))</f>
      </c>
      <c r="J293" s="81" t="str">
        <f>IF($B292="","",IF($B292+1&gt;'Oneri mensili'!$C$4,"",IF(B292&lt;'Oneri mensili'!$C$11-1,0,IF('Oneri mensili'!$C$10=dropdowns!$B$186,'Oneri mensili'!$J$3,IF('Oneri mensili'!$C$10=dropdowns!$B$185,IFERROR('Oneri mensili'!$J$3-K293,0),0)))))</f>
      </c>
      <c r="K293" s="81" t="str">
        <f>IF($B292="","",IF($B292+1&gt;'Oneri mensili'!$C$4,"",G293*I293*'Oneri mensili'!$C$8))</f>
      </c>
      <c r="L293" s="81" t="str">
        <f t="shared" si="22"/>
      </c>
      <c r="M293" s="81" t="str">
        <f t="shared" si="20"/>
      </c>
      <c r="N293" s="80"/>
      <c r="O293" s="82" t="str">
        <f>IF($B293="","",'Oneri mensili'!$C$8)</f>
      </c>
      <c r="P293" s="82" t="str">
        <f>IF($B293="","",'Oneri mensili'!$C$8*(POWER(1+'Oneri mensili'!$C$8,$B293-1+1)))</f>
      </c>
      <c r="Q293" s="82" t="str">
        <f t="shared" si="23"/>
      </c>
      <c r="R293" s="80"/>
      <c r="S293" s="81" t="str">
        <f t="shared" si="21"/>
      </c>
      <c r="T293" s="81" t="str">
        <f>IF(S293="","",J293/(POWER(1+'Oneri mensili'!$C$8,$B293-1+1)))</f>
      </c>
      <c r="U293" s="83" t="str">
        <f t="shared" si="24"/>
      </c>
      <c r="V293" s="81" t="str">
        <f>IF($B293="","",K293/(POWER(1+'Oneri mensili'!$C$8,$B293-1+1)))</f>
      </c>
      <c r="W293" s="80"/>
    </row>
    <row r="294" spans="1:23" s="85" customFormat="1">
      <c r="A294" s="76"/>
      <c r="B294" s="77" t="str">
        <f>IF($B293="","",IF($B293+1&gt;'Oneri mensili'!$C$4,"",Schema!B293+1))</f>
      </c>
      <c r="C294" s="78" t="str">
        <f>IF($B293="","",IF($B293+1&gt;'Oneri mensili'!$C$4,"",EOMONTH(C293,0)+1))</f>
      </c>
      <c r="D294" s="76"/>
      <c r="E294" s="78" t="str">
        <f>IF($B293="","",IF($B293+1&gt;'Oneri mensili'!$C$4,"",F293+1))</f>
      </c>
      <c r="F294" s="78" t="str">
        <f>IF($B293="","",IF($B293+1&gt;'Oneri mensili'!$C$4,"",EOMONTH(E294,0)))</f>
      </c>
      <c r="G294" s="79" t="str">
        <f>IF($B293="","",IF($B293+1&gt;'Oneri mensili'!$C$4,"",(F294-E294)+1)/DAY(F294))</f>
      </c>
      <c r="H294" s="80"/>
      <c r="I294" s="81" t="str">
        <f>IF($B293="","",IF($B293+1&gt;'Oneri mensili'!$C$4,"",I293-J293))</f>
      </c>
      <c r="J294" s="81" t="str">
        <f>IF($B293="","",IF($B293+1&gt;'Oneri mensili'!$C$4,"",IF(B293&lt;'Oneri mensili'!$C$11-1,0,IF('Oneri mensili'!$C$10=dropdowns!$B$186,'Oneri mensili'!$J$3,IF('Oneri mensili'!$C$10=dropdowns!$B$185,IFERROR('Oneri mensili'!$J$3-K294,0),0)))))</f>
      </c>
      <c r="K294" s="81" t="str">
        <f>IF($B293="","",IF($B293+1&gt;'Oneri mensili'!$C$4,"",G294*I294*'Oneri mensili'!$C$8))</f>
      </c>
      <c r="L294" s="81" t="str">
        <f t="shared" si="22"/>
      </c>
      <c r="M294" s="81" t="str">
        <f t="shared" si="20"/>
      </c>
      <c r="N294" s="80"/>
      <c r="O294" s="82" t="str">
        <f>IF($B294="","",'Oneri mensili'!$C$8)</f>
      </c>
      <c r="P294" s="82" t="str">
        <f>IF($B294="","",'Oneri mensili'!$C$8*(POWER(1+'Oneri mensili'!$C$8,$B294-1+1)))</f>
      </c>
      <c r="Q294" s="82" t="str">
        <f t="shared" si="23"/>
      </c>
      <c r="R294" s="80"/>
      <c r="S294" s="81" t="str">
        <f t="shared" si="21"/>
      </c>
      <c r="T294" s="81" t="str">
        <f>IF(S294="","",J294/(POWER(1+'Oneri mensili'!$C$8,$B294-1+1)))</f>
      </c>
      <c r="U294" s="83" t="str">
        <f t="shared" si="24"/>
      </c>
      <c r="V294" s="81" t="str">
        <f>IF($B294="","",K294/(POWER(1+'Oneri mensili'!$C$8,$B294-1+1)))</f>
      </c>
      <c r="W294" s="80"/>
    </row>
    <row r="295" spans="1:23" s="85" customFormat="1">
      <c r="A295" s="76"/>
      <c r="B295" s="77" t="str">
        <f>IF($B294="","",IF($B294+1&gt;'Oneri mensili'!$C$4,"",Schema!B294+1))</f>
      </c>
      <c r="C295" s="78" t="str">
        <f>IF($B294="","",IF($B294+1&gt;'Oneri mensili'!$C$4,"",EOMONTH(C294,0)+1))</f>
      </c>
      <c r="D295" s="76"/>
      <c r="E295" s="78" t="str">
        <f>IF($B294="","",IF($B294+1&gt;'Oneri mensili'!$C$4,"",F294+1))</f>
      </c>
      <c r="F295" s="78" t="str">
        <f>IF($B294="","",IF($B294+1&gt;'Oneri mensili'!$C$4,"",EOMONTH(E295,0)))</f>
      </c>
      <c r="G295" s="79" t="str">
        <f>IF($B294="","",IF($B294+1&gt;'Oneri mensili'!$C$4,"",(F295-E295)+1)/DAY(F295))</f>
      </c>
      <c r="H295" s="80"/>
      <c r="I295" s="81" t="str">
        <f>IF($B294="","",IF($B294+1&gt;'Oneri mensili'!$C$4,"",I294-J294))</f>
      </c>
      <c r="J295" s="81" t="str">
        <f>IF($B294="","",IF($B294+1&gt;'Oneri mensili'!$C$4,"",IF(B294&lt;'Oneri mensili'!$C$11-1,0,IF('Oneri mensili'!$C$10=dropdowns!$B$186,'Oneri mensili'!$J$3,IF('Oneri mensili'!$C$10=dropdowns!$B$185,IFERROR('Oneri mensili'!$J$3-K295,0),0)))))</f>
      </c>
      <c r="K295" s="81" t="str">
        <f>IF($B294="","",IF($B294+1&gt;'Oneri mensili'!$C$4,"",G295*I295*'Oneri mensili'!$C$8))</f>
      </c>
      <c r="L295" s="81" t="str">
        <f t="shared" si="22"/>
      </c>
      <c r="M295" s="81" t="str">
        <f t="shared" si="20"/>
      </c>
      <c r="N295" s="80"/>
      <c r="O295" s="82" t="str">
        <f>IF($B295="","",'Oneri mensili'!$C$8)</f>
      </c>
      <c r="P295" s="82" t="str">
        <f>IF($B295="","",'Oneri mensili'!$C$8*(POWER(1+'Oneri mensili'!$C$8,$B295-1+1)))</f>
      </c>
      <c r="Q295" s="82" t="str">
        <f t="shared" si="23"/>
      </c>
      <c r="R295" s="80"/>
      <c r="S295" s="81" t="str">
        <f t="shared" si="21"/>
      </c>
      <c r="T295" s="81" t="str">
        <f>IF(S295="","",J295/(POWER(1+'Oneri mensili'!$C$8,$B295-1+1)))</f>
      </c>
      <c r="U295" s="83" t="str">
        <f t="shared" si="24"/>
      </c>
      <c r="V295" s="81" t="str">
        <f>IF($B295="","",K295/(POWER(1+'Oneri mensili'!$C$8,$B295-1+1)))</f>
      </c>
      <c r="W295" s="80"/>
    </row>
    <row r="296" spans="1:23" s="85" customFormat="1">
      <c r="A296" s="76"/>
      <c r="B296" s="77" t="str">
        <f>IF($B295="","",IF($B295+1&gt;'Oneri mensili'!$C$4,"",Schema!B295+1))</f>
      </c>
      <c r="C296" s="78" t="str">
        <f>IF($B295="","",IF($B295+1&gt;'Oneri mensili'!$C$4,"",EOMONTH(C295,0)+1))</f>
      </c>
      <c r="D296" s="76"/>
      <c r="E296" s="78" t="str">
        <f>IF($B295="","",IF($B295+1&gt;'Oneri mensili'!$C$4,"",F295+1))</f>
      </c>
      <c r="F296" s="78" t="str">
        <f>IF($B295="","",IF($B295+1&gt;'Oneri mensili'!$C$4,"",EOMONTH(E296,0)))</f>
      </c>
      <c r="G296" s="79" t="str">
        <f>IF($B295="","",IF($B295+1&gt;'Oneri mensili'!$C$4,"",(F296-E296)+1)/DAY(F296))</f>
      </c>
      <c r="H296" s="80"/>
      <c r="I296" s="81" t="str">
        <f>IF($B295="","",IF($B295+1&gt;'Oneri mensili'!$C$4,"",I295-J295))</f>
      </c>
      <c r="J296" s="81" t="str">
        <f>IF($B295="","",IF($B295+1&gt;'Oneri mensili'!$C$4,"",IF(B295&lt;'Oneri mensili'!$C$11-1,0,IF('Oneri mensili'!$C$10=dropdowns!$B$186,'Oneri mensili'!$J$3,IF('Oneri mensili'!$C$10=dropdowns!$B$185,IFERROR('Oneri mensili'!$J$3-K296,0),0)))))</f>
      </c>
      <c r="K296" s="81" t="str">
        <f>IF($B295="","",IF($B295+1&gt;'Oneri mensili'!$C$4,"",G296*I296*'Oneri mensili'!$C$8))</f>
      </c>
      <c r="L296" s="81" t="str">
        <f t="shared" si="22"/>
      </c>
      <c r="M296" s="81" t="str">
        <f t="shared" si="20"/>
      </c>
      <c r="N296" s="80"/>
      <c r="O296" s="82" t="str">
        <f>IF($B296="","",'Oneri mensili'!$C$8)</f>
      </c>
      <c r="P296" s="82" t="str">
        <f>IF($B296="","",'Oneri mensili'!$C$8*(POWER(1+'Oneri mensili'!$C$8,$B296-1+1)))</f>
      </c>
      <c r="Q296" s="82" t="str">
        <f t="shared" si="23"/>
      </c>
      <c r="R296" s="80"/>
      <c r="S296" s="81" t="str">
        <f t="shared" si="21"/>
      </c>
      <c r="T296" s="81" t="str">
        <f>IF(S296="","",J296/(POWER(1+'Oneri mensili'!$C$8,$B296-1+1)))</f>
      </c>
      <c r="U296" s="83" t="str">
        <f t="shared" si="24"/>
      </c>
      <c r="V296" s="81" t="str">
        <f>IF($B296="","",K296/(POWER(1+'Oneri mensili'!$C$8,$B296-1+1)))</f>
      </c>
      <c r="W296" s="80"/>
    </row>
    <row r="297" spans="1:23" s="85" customFormat="1">
      <c r="A297" s="76"/>
      <c r="B297" s="77" t="str">
        <f>IF($B296="","",IF($B296+1&gt;'Oneri mensili'!$C$4,"",Schema!B296+1))</f>
      </c>
      <c r="C297" s="78" t="str">
        <f>IF($B296="","",IF($B296+1&gt;'Oneri mensili'!$C$4,"",EOMONTH(C296,0)+1))</f>
      </c>
      <c r="D297" s="76"/>
      <c r="E297" s="78" t="str">
        <f>IF($B296="","",IF($B296+1&gt;'Oneri mensili'!$C$4,"",F296+1))</f>
      </c>
      <c r="F297" s="78" t="str">
        <f>IF($B296="","",IF($B296+1&gt;'Oneri mensili'!$C$4,"",EOMONTH(E297,0)))</f>
      </c>
      <c r="G297" s="79" t="str">
        <f>IF($B296="","",IF($B296+1&gt;'Oneri mensili'!$C$4,"",(F297-E297)+1)/DAY(F297))</f>
      </c>
      <c r="H297" s="80"/>
      <c r="I297" s="81" t="str">
        <f>IF($B296="","",IF($B296+1&gt;'Oneri mensili'!$C$4,"",I296-J296))</f>
      </c>
      <c r="J297" s="81" t="str">
        <f>IF($B296="","",IF($B296+1&gt;'Oneri mensili'!$C$4,"",IF(B296&lt;'Oneri mensili'!$C$11-1,0,IF('Oneri mensili'!$C$10=dropdowns!$B$186,'Oneri mensili'!$J$3,IF('Oneri mensili'!$C$10=dropdowns!$B$185,IFERROR('Oneri mensili'!$J$3-K297,0),0)))))</f>
      </c>
      <c r="K297" s="81" t="str">
        <f>IF($B296="","",IF($B296+1&gt;'Oneri mensili'!$C$4,"",G297*I297*'Oneri mensili'!$C$8))</f>
      </c>
      <c r="L297" s="81" t="str">
        <f t="shared" si="22"/>
      </c>
      <c r="M297" s="81" t="str">
        <f t="shared" si="20"/>
      </c>
      <c r="N297" s="80"/>
      <c r="O297" s="82" t="str">
        <f>IF($B297="","",'Oneri mensili'!$C$8)</f>
      </c>
      <c r="P297" s="82" t="str">
        <f>IF($B297="","",'Oneri mensili'!$C$8*(POWER(1+'Oneri mensili'!$C$8,$B297-1+1)))</f>
      </c>
      <c r="Q297" s="82" t="str">
        <f t="shared" si="23"/>
      </c>
      <c r="R297" s="80"/>
      <c r="S297" s="81" t="str">
        <f t="shared" si="21"/>
      </c>
      <c r="T297" s="81" t="str">
        <f>IF(S297="","",J297/(POWER(1+'Oneri mensili'!$C$8,$B297-1+1)))</f>
      </c>
      <c r="U297" s="83" t="str">
        <f t="shared" si="24"/>
      </c>
      <c r="V297" s="81" t="str">
        <f>IF($B297="","",K297/(POWER(1+'Oneri mensili'!$C$8,$B297-1+1)))</f>
      </c>
      <c r="W297" s="80"/>
    </row>
    <row r="298" spans="1:23" s="85" customFormat="1">
      <c r="A298" s="76"/>
      <c r="B298" s="77" t="str">
        <f>IF($B297="","",IF($B297+1&gt;'Oneri mensili'!$C$4,"",Schema!B297+1))</f>
      </c>
      <c r="C298" s="78" t="str">
        <f>IF($B297="","",IF($B297+1&gt;'Oneri mensili'!$C$4,"",EOMONTH(C297,0)+1))</f>
      </c>
      <c r="D298" s="76"/>
      <c r="E298" s="78" t="str">
        <f>IF($B297="","",IF($B297+1&gt;'Oneri mensili'!$C$4,"",F297+1))</f>
      </c>
      <c r="F298" s="78" t="str">
        <f>IF($B297="","",IF($B297+1&gt;'Oneri mensili'!$C$4,"",EOMONTH(E298,0)))</f>
      </c>
      <c r="G298" s="79" t="str">
        <f>IF($B297="","",IF($B297+1&gt;'Oneri mensili'!$C$4,"",(F298-E298)+1)/DAY(F298))</f>
      </c>
      <c r="H298" s="80"/>
      <c r="I298" s="81" t="str">
        <f>IF($B297="","",IF($B297+1&gt;'Oneri mensili'!$C$4,"",I297-J297))</f>
      </c>
      <c r="J298" s="81" t="str">
        <f>IF($B297="","",IF($B297+1&gt;'Oneri mensili'!$C$4,"",IF(B297&lt;'Oneri mensili'!$C$11-1,0,IF('Oneri mensili'!$C$10=dropdowns!$B$186,'Oneri mensili'!$J$3,IF('Oneri mensili'!$C$10=dropdowns!$B$185,IFERROR('Oneri mensili'!$J$3-K298,0),0)))))</f>
      </c>
      <c r="K298" s="81" t="str">
        <f>IF($B297="","",IF($B297+1&gt;'Oneri mensili'!$C$4,"",G298*I298*'Oneri mensili'!$C$8))</f>
      </c>
      <c r="L298" s="81" t="str">
        <f t="shared" si="22"/>
      </c>
      <c r="M298" s="81" t="str">
        <f t="shared" si="20"/>
      </c>
      <c r="N298" s="80"/>
      <c r="O298" s="82" t="str">
        <f>IF($B298="","",'Oneri mensili'!$C$8)</f>
      </c>
      <c r="P298" s="82" t="str">
        <f>IF($B298="","",'Oneri mensili'!$C$8*(POWER(1+'Oneri mensili'!$C$8,$B298-1+1)))</f>
      </c>
      <c r="Q298" s="82" t="str">
        <f t="shared" si="23"/>
      </c>
      <c r="R298" s="80"/>
      <c r="S298" s="81" t="str">
        <f t="shared" si="21"/>
      </c>
      <c r="T298" s="81" t="str">
        <f>IF(S298="","",J298/(POWER(1+'Oneri mensili'!$C$8,$B298-1+1)))</f>
      </c>
      <c r="U298" s="83" t="str">
        <f t="shared" si="24"/>
      </c>
      <c r="V298" s="81" t="str">
        <f>IF($B298="","",K298/(POWER(1+'Oneri mensili'!$C$8,$B298-1+1)))</f>
      </c>
      <c r="W298" s="80"/>
    </row>
    <row r="299" spans="1:23" s="85" customFormat="1">
      <c r="A299" s="76"/>
      <c r="B299" s="77" t="str">
        <f>IF($B298="","",IF($B298+1&gt;'Oneri mensili'!$C$4,"",Schema!B298+1))</f>
      </c>
      <c r="C299" s="78" t="str">
        <f>IF($B298="","",IF($B298+1&gt;'Oneri mensili'!$C$4,"",EOMONTH(C298,0)+1))</f>
      </c>
      <c r="D299" s="76"/>
      <c r="E299" s="78" t="str">
        <f>IF($B298="","",IF($B298+1&gt;'Oneri mensili'!$C$4,"",F298+1))</f>
      </c>
      <c r="F299" s="78" t="str">
        <f>IF($B298="","",IF($B298+1&gt;'Oneri mensili'!$C$4,"",EOMONTH(E299,0)))</f>
      </c>
      <c r="G299" s="79" t="str">
        <f>IF($B298="","",IF($B298+1&gt;'Oneri mensili'!$C$4,"",(F299-E299)+1)/DAY(F299))</f>
      </c>
      <c r="H299" s="80"/>
      <c r="I299" s="81" t="str">
        <f>IF($B298="","",IF($B298+1&gt;'Oneri mensili'!$C$4,"",I298-J298))</f>
      </c>
      <c r="J299" s="81" t="str">
        <f>IF($B298="","",IF($B298+1&gt;'Oneri mensili'!$C$4,"",IF(B298&lt;'Oneri mensili'!$C$11-1,0,IF('Oneri mensili'!$C$10=dropdowns!$B$186,'Oneri mensili'!$J$3,IF('Oneri mensili'!$C$10=dropdowns!$B$185,IFERROR('Oneri mensili'!$J$3-K299,0),0)))))</f>
      </c>
      <c r="K299" s="81" t="str">
        <f>IF($B298="","",IF($B298+1&gt;'Oneri mensili'!$C$4,"",G299*I299*'Oneri mensili'!$C$8))</f>
      </c>
      <c r="L299" s="81" t="str">
        <f t="shared" si="22"/>
      </c>
      <c r="M299" s="81" t="str">
        <f t="shared" si="20"/>
      </c>
      <c r="N299" s="80"/>
      <c r="O299" s="82" t="str">
        <f>IF($B299="","",'Oneri mensili'!$C$8)</f>
      </c>
      <c r="P299" s="82" t="str">
        <f>IF($B299="","",'Oneri mensili'!$C$8*(POWER(1+'Oneri mensili'!$C$8,$B299-1+1)))</f>
      </c>
      <c r="Q299" s="82" t="str">
        <f t="shared" si="23"/>
      </c>
      <c r="R299" s="80"/>
      <c r="S299" s="81" t="str">
        <f t="shared" si="21"/>
      </c>
      <c r="T299" s="81" t="str">
        <f>IF(S299="","",J299/(POWER(1+'Oneri mensili'!$C$8,$B299-1+1)))</f>
      </c>
      <c r="U299" s="83" t="str">
        <f t="shared" si="24"/>
      </c>
      <c r="V299" s="81" t="str">
        <f>IF($B299="","",K299/(POWER(1+'Oneri mensili'!$C$8,$B299-1+1)))</f>
      </c>
      <c r="W299" s="80"/>
    </row>
    <row r="300" spans="1:23" s="85" customFormat="1">
      <c r="A300" s="76"/>
      <c r="B300" s="77" t="str">
        <f>IF($B299="","",IF($B299+1&gt;'Oneri mensili'!$C$4,"",Schema!B299+1))</f>
      </c>
      <c r="C300" s="78" t="str">
        <f>IF($B299="","",IF($B299+1&gt;'Oneri mensili'!$C$4,"",EOMONTH(C299,0)+1))</f>
      </c>
      <c r="D300" s="76"/>
      <c r="E300" s="78" t="str">
        <f>IF($B299="","",IF($B299+1&gt;'Oneri mensili'!$C$4,"",F299+1))</f>
      </c>
      <c r="F300" s="78" t="str">
        <f>IF($B299="","",IF($B299+1&gt;'Oneri mensili'!$C$4,"",EOMONTH(E300,0)))</f>
      </c>
      <c r="G300" s="79" t="str">
        <f>IF($B299="","",IF($B299+1&gt;'Oneri mensili'!$C$4,"",(F300-E300)+1)/DAY(F300))</f>
      </c>
      <c r="H300" s="80"/>
      <c r="I300" s="81" t="str">
        <f>IF($B299="","",IF($B299+1&gt;'Oneri mensili'!$C$4,"",I299-J299))</f>
      </c>
      <c r="J300" s="81" t="str">
        <f>IF($B299="","",IF($B299+1&gt;'Oneri mensili'!$C$4,"",IF(B299&lt;'Oneri mensili'!$C$11-1,0,IF('Oneri mensili'!$C$10=dropdowns!$B$186,'Oneri mensili'!$J$3,IF('Oneri mensili'!$C$10=dropdowns!$B$185,IFERROR('Oneri mensili'!$J$3-K300,0),0)))))</f>
      </c>
      <c r="K300" s="81" t="str">
        <f>IF($B299="","",IF($B299+1&gt;'Oneri mensili'!$C$4,"",G300*I300*'Oneri mensili'!$C$8))</f>
      </c>
      <c r="L300" s="81" t="str">
        <f t="shared" si="22"/>
      </c>
      <c r="M300" s="81" t="str">
        <f t="shared" si="20"/>
      </c>
      <c r="N300" s="80"/>
      <c r="O300" s="82" t="str">
        <f>IF($B300="","",'Oneri mensili'!$C$8)</f>
      </c>
      <c r="P300" s="82" t="str">
        <f>IF($B300="","",'Oneri mensili'!$C$8*(POWER(1+'Oneri mensili'!$C$8,$B300-1+1)))</f>
      </c>
      <c r="Q300" s="82" t="str">
        <f t="shared" si="23"/>
      </c>
      <c r="R300" s="80"/>
      <c r="S300" s="81" t="str">
        <f t="shared" si="21"/>
      </c>
      <c r="T300" s="81" t="str">
        <f>IF(S300="","",J300/(POWER(1+'Oneri mensili'!$C$8,$B300-1+1)))</f>
      </c>
      <c r="U300" s="83" t="str">
        <f t="shared" si="24"/>
      </c>
      <c r="V300" s="81" t="str">
        <f>IF($B300="","",K300/(POWER(1+'Oneri mensili'!$C$8,$B300-1+1)))</f>
      </c>
      <c r="W300" s="80"/>
    </row>
    <row r="301" spans="1:23" s="85" customFormat="1">
      <c r="A301" s="76"/>
      <c r="B301" s="77" t="str">
        <f>IF($B300="","",IF($B300+1&gt;'Oneri mensili'!$C$4,"",Schema!B300+1))</f>
      </c>
      <c r="C301" s="78" t="str">
        <f>IF($B300="","",IF($B300+1&gt;'Oneri mensili'!$C$4,"",EOMONTH(C300,0)+1))</f>
      </c>
      <c r="D301" s="76"/>
      <c r="E301" s="78" t="str">
        <f>IF($B300="","",IF($B300+1&gt;'Oneri mensili'!$C$4,"",F300+1))</f>
      </c>
      <c r="F301" s="78" t="str">
        <f>IF($B300="","",IF($B300+1&gt;'Oneri mensili'!$C$4,"",EOMONTH(E301,0)))</f>
      </c>
      <c r="G301" s="79" t="str">
        <f>IF($B300="","",IF($B300+1&gt;'Oneri mensili'!$C$4,"",(F301-E301)+1)/DAY(F301))</f>
      </c>
      <c r="H301" s="80"/>
      <c r="I301" s="81" t="str">
        <f>IF($B300="","",IF($B300+1&gt;'Oneri mensili'!$C$4,"",I300-J300))</f>
      </c>
      <c r="J301" s="81" t="str">
        <f>IF($B300="","",IF($B300+1&gt;'Oneri mensili'!$C$4,"",IF(B300&lt;'Oneri mensili'!$C$11-1,0,IF('Oneri mensili'!$C$10=dropdowns!$B$186,'Oneri mensili'!$J$3,IF('Oneri mensili'!$C$10=dropdowns!$B$185,IFERROR('Oneri mensili'!$J$3-K301,0),0)))))</f>
      </c>
      <c r="K301" s="81" t="str">
        <f>IF($B300="","",IF($B300+1&gt;'Oneri mensili'!$C$4,"",G301*I301*'Oneri mensili'!$C$8))</f>
      </c>
      <c r="L301" s="81" t="str">
        <f t="shared" si="22"/>
      </c>
      <c r="M301" s="81" t="str">
        <f t="shared" si="20"/>
      </c>
      <c r="N301" s="80"/>
      <c r="O301" s="82" t="str">
        <f>IF($B301="","",'Oneri mensili'!$C$8)</f>
      </c>
      <c r="P301" s="82" t="str">
        <f>IF($B301="","",'Oneri mensili'!$C$8*(POWER(1+'Oneri mensili'!$C$8,$B301-1+1)))</f>
      </c>
      <c r="Q301" s="82" t="str">
        <f t="shared" si="23"/>
      </c>
      <c r="R301" s="80"/>
      <c r="S301" s="81" t="str">
        <f t="shared" si="21"/>
      </c>
      <c r="T301" s="81" t="str">
        <f>IF(S301="","",J301/(POWER(1+'Oneri mensili'!$C$8,$B301-1+1)))</f>
      </c>
      <c r="U301" s="83" t="str">
        <f t="shared" si="24"/>
      </c>
      <c r="V301" s="81" t="str">
        <f>IF($B301="","",K301/(POWER(1+'Oneri mensili'!$C$8,$B301-1+1)))</f>
      </c>
      <c r="W301" s="80"/>
    </row>
    <row r="302" spans="1:23" s="85" customFormat="1">
      <c r="A302" s="76"/>
      <c r="B302" s="77" t="str">
        <f>IF($B301="","",IF($B301+1&gt;'Oneri mensili'!$C$4,"",Schema!B301+1))</f>
      </c>
      <c r="C302" s="78" t="str">
        <f>IF($B301="","",IF($B301+1&gt;'Oneri mensili'!$C$4,"",EOMONTH(C301,0)+1))</f>
      </c>
      <c r="D302" s="76"/>
      <c r="E302" s="78" t="str">
        <f>IF($B301="","",IF($B301+1&gt;'Oneri mensili'!$C$4,"",F301+1))</f>
      </c>
      <c r="F302" s="78" t="str">
        <f>IF($B301="","",IF($B301+1&gt;'Oneri mensili'!$C$4,"",EOMONTH(E302,0)))</f>
      </c>
      <c r="G302" s="79" t="str">
        <f>IF($B301="","",IF($B301+1&gt;'Oneri mensili'!$C$4,"",(F302-E302)+1)/DAY(F302))</f>
      </c>
      <c r="H302" s="80"/>
      <c r="I302" s="81" t="str">
        <f>IF($B301="","",IF($B301+1&gt;'Oneri mensili'!$C$4,"",I301-J301))</f>
      </c>
      <c r="J302" s="81" t="str">
        <f>IF($B301="","",IF($B301+1&gt;'Oneri mensili'!$C$4,"",IF(B301&lt;'Oneri mensili'!$C$11-1,0,IF('Oneri mensili'!$C$10=dropdowns!$B$186,'Oneri mensili'!$J$3,IF('Oneri mensili'!$C$10=dropdowns!$B$185,IFERROR('Oneri mensili'!$J$3-K302,0),0)))))</f>
      </c>
      <c r="K302" s="81" t="str">
        <f>IF($B301="","",IF($B301+1&gt;'Oneri mensili'!$C$4,"",G302*I302*'Oneri mensili'!$C$8))</f>
      </c>
      <c r="L302" s="81" t="str">
        <f t="shared" si="22"/>
      </c>
      <c r="M302" s="81" t="str">
        <f t="shared" si="20"/>
      </c>
      <c r="N302" s="80"/>
      <c r="O302" s="82" t="str">
        <f>IF($B302="","",'Oneri mensili'!$C$8)</f>
      </c>
      <c r="P302" s="82" t="str">
        <f>IF($B302="","",'Oneri mensili'!$C$8*(POWER(1+'Oneri mensili'!$C$8,$B302-1+1)))</f>
      </c>
      <c r="Q302" s="82" t="str">
        <f t="shared" si="23"/>
      </c>
      <c r="R302" s="80"/>
      <c r="S302" s="81" t="str">
        <f t="shared" si="21"/>
      </c>
      <c r="T302" s="81" t="str">
        <f>IF(S302="","",J302/(POWER(1+'Oneri mensili'!$C$8,$B302-1+1)))</f>
      </c>
      <c r="U302" s="83" t="str">
        <f t="shared" si="24"/>
      </c>
      <c r="V302" s="81" t="str">
        <f>IF($B302="","",K302/(POWER(1+'Oneri mensili'!$C$8,$B302-1+1)))</f>
      </c>
      <c r="W302" s="80"/>
    </row>
    <row r="303" spans="1:23" s="85" customFormat="1">
      <c r="A303" s="76"/>
      <c r="B303" s="77" t="str">
        <f>IF($B302="","",IF($B302+1&gt;'Oneri mensili'!$C$4,"",Schema!B302+1))</f>
      </c>
      <c r="C303" s="78" t="str">
        <f>IF($B302="","",IF($B302+1&gt;'Oneri mensili'!$C$4,"",EOMONTH(C302,0)+1))</f>
      </c>
      <c r="D303" s="76"/>
      <c r="E303" s="78" t="str">
        <f>IF($B302="","",IF($B302+1&gt;'Oneri mensili'!$C$4,"",F302+1))</f>
      </c>
      <c r="F303" s="78" t="str">
        <f>IF($B302="","",IF($B302+1&gt;'Oneri mensili'!$C$4,"",EOMONTH(E303,0)))</f>
      </c>
      <c r="G303" s="79" t="str">
        <f>IF($B302="","",IF($B302+1&gt;'Oneri mensili'!$C$4,"",(F303-E303)+1)/DAY(F303))</f>
      </c>
      <c r="H303" s="80"/>
      <c r="I303" s="81" t="str">
        <f>IF($B302="","",IF($B302+1&gt;'Oneri mensili'!$C$4,"",I302-J302))</f>
      </c>
      <c r="J303" s="81" t="str">
        <f>IF($B302="","",IF($B302+1&gt;'Oneri mensili'!$C$4,"",IF(B302&lt;'Oneri mensili'!$C$11-1,0,IF('Oneri mensili'!$C$10=dropdowns!$B$186,'Oneri mensili'!$J$3,IF('Oneri mensili'!$C$10=dropdowns!$B$185,IFERROR('Oneri mensili'!$J$3-K303,0),0)))))</f>
      </c>
      <c r="K303" s="81" t="str">
        <f>IF($B302="","",IF($B302+1&gt;'Oneri mensili'!$C$4,"",G303*I303*'Oneri mensili'!$C$8))</f>
      </c>
      <c r="L303" s="81" t="str">
        <f t="shared" si="22"/>
      </c>
      <c r="M303" s="81" t="str">
        <f t="shared" si="20"/>
      </c>
      <c r="N303" s="80"/>
      <c r="O303" s="82" t="str">
        <f>IF($B303="","",'Oneri mensili'!$C$8)</f>
      </c>
      <c r="P303" s="82" t="str">
        <f>IF($B303="","",'Oneri mensili'!$C$8*(POWER(1+'Oneri mensili'!$C$8,$B303-1+1)))</f>
      </c>
      <c r="Q303" s="82" t="str">
        <f t="shared" si="23"/>
      </c>
      <c r="R303" s="80"/>
      <c r="S303" s="81" t="str">
        <f t="shared" si="21"/>
      </c>
      <c r="T303" s="81" t="str">
        <f>IF(S303="","",J303/(POWER(1+'Oneri mensili'!$C$8,$B303-1+1)))</f>
      </c>
      <c r="U303" s="83" t="str">
        <f t="shared" si="24"/>
      </c>
      <c r="V303" s="81" t="str">
        <f>IF($B303="","",K303/(POWER(1+'Oneri mensili'!$C$8,$B303-1+1)))</f>
      </c>
      <c r="W303" s="80"/>
    </row>
    <row r="304" spans="1:23" s="85" customFormat="1">
      <c r="A304" s="76"/>
      <c r="B304" s="77" t="str">
        <f>IF($B303="","",IF($B303+1&gt;'Oneri mensili'!$C$4,"",Schema!B303+1))</f>
      </c>
      <c r="C304" s="78" t="str">
        <f>IF($B303="","",IF($B303+1&gt;'Oneri mensili'!$C$4,"",EOMONTH(C303,0)+1))</f>
      </c>
      <c r="D304" s="76"/>
      <c r="E304" s="78" t="str">
        <f>IF($B303="","",IF($B303+1&gt;'Oneri mensili'!$C$4,"",F303+1))</f>
      </c>
      <c r="F304" s="78" t="str">
        <f>IF($B303="","",IF($B303+1&gt;'Oneri mensili'!$C$4,"",EOMONTH(E304,0)))</f>
      </c>
      <c r="G304" s="79" t="str">
        <f>IF($B303="","",IF($B303+1&gt;'Oneri mensili'!$C$4,"",(F304-E304)+1)/DAY(F304))</f>
      </c>
      <c r="H304" s="80"/>
      <c r="I304" s="81" t="str">
        <f>IF($B303="","",IF($B303+1&gt;'Oneri mensili'!$C$4,"",I303-J303))</f>
      </c>
      <c r="J304" s="81" t="str">
        <f>IF($B303="","",IF($B303+1&gt;'Oneri mensili'!$C$4,"",IF(B303&lt;'Oneri mensili'!$C$11-1,0,IF('Oneri mensili'!$C$10=dropdowns!$B$186,'Oneri mensili'!$J$3,IF('Oneri mensili'!$C$10=dropdowns!$B$185,IFERROR('Oneri mensili'!$J$3-K304,0),0)))))</f>
      </c>
      <c r="K304" s="81" t="str">
        <f>IF($B303="","",IF($B303+1&gt;'Oneri mensili'!$C$4,"",G304*I304*'Oneri mensili'!$C$8))</f>
      </c>
      <c r="L304" s="81" t="str">
        <f t="shared" si="22"/>
      </c>
      <c r="M304" s="81" t="str">
        <f t="shared" si="20"/>
      </c>
      <c r="N304" s="80"/>
      <c r="O304" s="82" t="str">
        <f>IF($B304="","",'Oneri mensili'!$C$8)</f>
      </c>
      <c r="P304" s="82" t="str">
        <f>IF($B304="","",'Oneri mensili'!$C$8*(POWER(1+'Oneri mensili'!$C$8,$B304-1+1)))</f>
      </c>
      <c r="Q304" s="82" t="str">
        <f t="shared" si="23"/>
      </c>
      <c r="R304" s="80"/>
      <c r="S304" s="81" t="str">
        <f t="shared" si="21"/>
      </c>
      <c r="T304" s="81" t="str">
        <f>IF(S304="","",J304/(POWER(1+'Oneri mensili'!$C$8,$B304-1+1)))</f>
      </c>
      <c r="U304" s="83" t="str">
        <f t="shared" si="24"/>
      </c>
      <c r="V304" s="81" t="str">
        <f>IF($B304="","",K304/(POWER(1+'Oneri mensili'!$C$8,$B304-1+1)))</f>
      </c>
      <c r="W304" s="80"/>
    </row>
    <row r="305" spans="1:23" s="85" customFormat="1">
      <c r="A305" s="76"/>
      <c r="B305" s="77" t="str">
        <f>IF($B304="","",IF($B304+1&gt;'Oneri mensili'!$C$4,"",Schema!B304+1))</f>
      </c>
      <c r="C305" s="78" t="str">
        <f>IF($B304="","",IF($B304+1&gt;'Oneri mensili'!$C$4,"",EOMONTH(C304,0)+1))</f>
      </c>
      <c r="D305" s="76"/>
      <c r="E305" s="78" t="str">
        <f>IF($B304="","",IF($B304+1&gt;'Oneri mensili'!$C$4,"",F304+1))</f>
      </c>
      <c r="F305" s="78" t="str">
        <f>IF($B304="","",IF($B304+1&gt;'Oneri mensili'!$C$4,"",EOMONTH(E305,0)))</f>
      </c>
      <c r="G305" s="79" t="str">
        <f>IF($B304="","",IF($B304+1&gt;'Oneri mensili'!$C$4,"",(F305-E305)+1)/DAY(F305))</f>
      </c>
      <c r="H305" s="80"/>
      <c r="I305" s="81" t="str">
        <f>IF($B304="","",IF($B304+1&gt;'Oneri mensili'!$C$4,"",I304-J304))</f>
      </c>
      <c r="J305" s="81" t="str">
        <f>IF($B304="","",IF($B304+1&gt;'Oneri mensili'!$C$4,"",IF(B304&lt;'Oneri mensili'!$C$11-1,0,IF('Oneri mensili'!$C$10=dropdowns!$B$186,'Oneri mensili'!$J$3,IF('Oneri mensili'!$C$10=dropdowns!$B$185,IFERROR('Oneri mensili'!$J$3-K305,0),0)))))</f>
      </c>
      <c r="K305" s="81" t="str">
        <f>IF($B304="","",IF($B304+1&gt;'Oneri mensili'!$C$4,"",G305*I305*'Oneri mensili'!$C$8))</f>
      </c>
      <c r="L305" s="81" t="str">
        <f t="shared" si="22"/>
      </c>
      <c r="M305" s="81" t="str">
        <f t="shared" si="20"/>
      </c>
      <c r="N305" s="80"/>
      <c r="O305" s="82" t="str">
        <f>IF($B305="","",'Oneri mensili'!$C$8)</f>
      </c>
      <c r="P305" s="82" t="str">
        <f>IF($B305="","",'Oneri mensili'!$C$8*(POWER(1+'Oneri mensili'!$C$8,$B305-1+1)))</f>
      </c>
      <c r="Q305" s="82" t="str">
        <f t="shared" si="23"/>
      </c>
      <c r="R305" s="80"/>
      <c r="S305" s="81" t="str">
        <f t="shared" si="21"/>
      </c>
      <c r="T305" s="81" t="str">
        <f>IF(S305="","",J305/(POWER(1+'Oneri mensili'!$C$8,$B305-1+1)))</f>
      </c>
      <c r="U305" s="83" t="str">
        <f t="shared" si="24"/>
      </c>
      <c r="V305" s="81" t="str">
        <f>IF($B305="","",K305/(POWER(1+'Oneri mensili'!$C$8,$B305-1+1)))</f>
      </c>
      <c r="W305" s="80"/>
    </row>
    <row r="306" spans="1:23" s="85" customFormat="1">
      <c r="A306" s="76"/>
      <c r="B306" s="77" t="str">
        <f>IF($B305="","",IF($B305+1&gt;'Oneri mensili'!$C$4,"",Schema!B305+1))</f>
      </c>
      <c r="C306" s="78" t="str">
        <f>IF($B305="","",IF($B305+1&gt;'Oneri mensili'!$C$4,"",EOMONTH(C305,0)+1))</f>
      </c>
      <c r="D306" s="76"/>
      <c r="E306" s="78" t="str">
        <f>IF($B305="","",IF($B305+1&gt;'Oneri mensili'!$C$4,"",F305+1))</f>
      </c>
      <c r="F306" s="78" t="str">
        <f>IF($B305="","",IF($B305+1&gt;'Oneri mensili'!$C$4,"",EOMONTH(E306,0)))</f>
      </c>
      <c r="G306" s="79" t="str">
        <f>IF($B305="","",IF($B305+1&gt;'Oneri mensili'!$C$4,"",(F306-E306)+1)/DAY(F306))</f>
      </c>
      <c r="H306" s="80"/>
      <c r="I306" s="81" t="str">
        <f>IF($B305="","",IF($B305+1&gt;'Oneri mensili'!$C$4,"",I305-J305))</f>
      </c>
      <c r="J306" s="81" t="str">
        <f>IF($B305="","",IF($B305+1&gt;'Oneri mensili'!$C$4,"",IF(B305&lt;'Oneri mensili'!$C$11-1,0,IF('Oneri mensili'!$C$10=dropdowns!$B$186,'Oneri mensili'!$J$3,IF('Oneri mensili'!$C$10=dropdowns!$B$185,IFERROR('Oneri mensili'!$J$3-K306,0),0)))))</f>
      </c>
      <c r="K306" s="81" t="str">
        <f>IF($B305="","",IF($B305+1&gt;'Oneri mensili'!$C$4,"",G306*I306*'Oneri mensili'!$C$8))</f>
      </c>
      <c r="L306" s="81" t="str">
        <f t="shared" si="22"/>
      </c>
      <c r="M306" s="81" t="str">
        <f t="shared" si="20"/>
      </c>
      <c r="N306" s="80"/>
      <c r="O306" s="82" t="str">
        <f>IF($B306="","",'Oneri mensili'!$C$8)</f>
      </c>
      <c r="P306" s="82" t="str">
        <f>IF($B306="","",'Oneri mensili'!$C$8*(POWER(1+'Oneri mensili'!$C$8,$B306-1+1)))</f>
      </c>
      <c r="Q306" s="82" t="str">
        <f t="shared" si="23"/>
      </c>
      <c r="R306" s="80"/>
      <c r="S306" s="81" t="str">
        <f t="shared" si="21"/>
      </c>
      <c r="T306" s="81" t="str">
        <f>IF(S306="","",J306/(POWER(1+'Oneri mensili'!$C$8,$B306-1+1)))</f>
      </c>
      <c r="U306" s="83" t="str">
        <f t="shared" si="24"/>
      </c>
      <c r="V306" s="81" t="str">
        <f>IF($B306="","",K306/(POWER(1+'Oneri mensili'!$C$8,$B306-1+1)))</f>
      </c>
      <c r="W306" s="80"/>
    </row>
    <row r="307" spans="1:23" s="85" customFormat="1">
      <c r="A307" s="76"/>
      <c r="B307" s="77" t="str">
        <f>IF($B306="","",IF($B306+1&gt;'Oneri mensili'!$C$4,"",Schema!B306+1))</f>
      </c>
      <c r="C307" s="78" t="str">
        <f>IF($B306="","",IF($B306+1&gt;'Oneri mensili'!$C$4,"",EOMONTH(C306,0)+1))</f>
      </c>
      <c r="D307" s="76"/>
      <c r="E307" s="78" t="str">
        <f>IF($B306="","",IF($B306+1&gt;'Oneri mensili'!$C$4,"",F306+1))</f>
      </c>
      <c r="F307" s="78" t="str">
        <f>IF($B306="","",IF($B306+1&gt;'Oneri mensili'!$C$4,"",EOMONTH(E307,0)))</f>
      </c>
      <c r="G307" s="79" t="str">
        <f>IF($B306="","",IF($B306+1&gt;'Oneri mensili'!$C$4,"",(F307-E307)+1)/DAY(F307))</f>
      </c>
      <c r="H307" s="80"/>
      <c r="I307" s="81" t="str">
        <f>IF($B306="","",IF($B306+1&gt;'Oneri mensili'!$C$4,"",I306-J306))</f>
      </c>
      <c r="J307" s="81" t="str">
        <f>IF($B306="","",IF($B306+1&gt;'Oneri mensili'!$C$4,"",IF(B306&lt;'Oneri mensili'!$C$11-1,0,IF('Oneri mensili'!$C$10=dropdowns!$B$186,'Oneri mensili'!$J$3,IF('Oneri mensili'!$C$10=dropdowns!$B$185,IFERROR('Oneri mensili'!$J$3-K307,0),0)))))</f>
      </c>
      <c r="K307" s="81" t="str">
        <f>IF($B306="","",IF($B306+1&gt;'Oneri mensili'!$C$4,"",G307*I307*'Oneri mensili'!$C$8))</f>
      </c>
      <c r="L307" s="81" t="str">
        <f t="shared" si="22"/>
      </c>
      <c r="M307" s="81" t="str">
        <f t="shared" si="20"/>
      </c>
      <c r="N307" s="80"/>
      <c r="O307" s="82" t="str">
        <f>IF($B307="","",'Oneri mensili'!$C$8)</f>
      </c>
      <c r="P307" s="82" t="str">
        <f>IF($B307="","",'Oneri mensili'!$C$8*(POWER(1+'Oneri mensili'!$C$8,$B307-1+1)))</f>
      </c>
      <c r="Q307" s="82" t="str">
        <f t="shared" si="23"/>
      </c>
      <c r="R307" s="80"/>
      <c r="S307" s="81" t="str">
        <f t="shared" si="21"/>
      </c>
      <c r="T307" s="81" t="str">
        <f>IF(S307="","",J307/(POWER(1+'Oneri mensili'!$C$8,$B307-1+1)))</f>
      </c>
      <c r="U307" s="83" t="str">
        <f t="shared" si="24"/>
      </c>
      <c r="V307" s="81" t="str">
        <f>IF($B307="","",K307/(POWER(1+'Oneri mensili'!$C$8,$B307-1+1)))</f>
      </c>
      <c r="W307" s="80"/>
    </row>
    <row r="308" spans="1:23" s="85" customFormat="1">
      <c r="A308" s="76"/>
      <c r="B308" s="77" t="str">
        <f>IF($B307="","",IF($B307+1&gt;'Oneri mensili'!$C$4,"",Schema!B307+1))</f>
      </c>
      <c r="C308" s="78" t="str">
        <f>IF($B307="","",IF($B307+1&gt;'Oneri mensili'!$C$4,"",EOMONTH(C307,0)+1))</f>
      </c>
      <c r="D308" s="76"/>
      <c r="E308" s="78" t="str">
        <f>IF($B307="","",IF($B307+1&gt;'Oneri mensili'!$C$4,"",F307+1))</f>
      </c>
      <c r="F308" s="78" t="str">
        <f>IF($B307="","",IF($B307+1&gt;'Oneri mensili'!$C$4,"",EOMONTH(E308,0)))</f>
      </c>
      <c r="G308" s="79" t="str">
        <f>IF($B307="","",IF($B307+1&gt;'Oneri mensili'!$C$4,"",(F308-E308)+1)/DAY(F308))</f>
      </c>
      <c r="H308" s="80"/>
      <c r="I308" s="81" t="str">
        <f>IF($B307="","",IF($B307+1&gt;'Oneri mensili'!$C$4,"",I307-J307))</f>
      </c>
      <c r="J308" s="81" t="str">
        <f>IF($B307="","",IF($B307+1&gt;'Oneri mensili'!$C$4,"",IF(B307&lt;'Oneri mensili'!$C$11-1,0,IF('Oneri mensili'!$C$10=dropdowns!$B$186,'Oneri mensili'!$J$3,IF('Oneri mensili'!$C$10=dropdowns!$B$185,IFERROR('Oneri mensili'!$J$3-K308,0),0)))))</f>
      </c>
      <c r="K308" s="81" t="str">
        <f>IF($B307="","",IF($B307+1&gt;'Oneri mensili'!$C$4,"",G308*I308*'Oneri mensili'!$C$8))</f>
      </c>
      <c r="L308" s="81" t="str">
        <f t="shared" si="22"/>
      </c>
      <c r="M308" s="81" t="str">
        <f t="shared" si="20"/>
      </c>
      <c r="N308" s="80"/>
      <c r="O308" s="82" t="str">
        <f>IF($B308="","",'Oneri mensili'!$C$8)</f>
      </c>
      <c r="P308" s="82" t="str">
        <f>IF($B308="","",'Oneri mensili'!$C$8*(POWER(1+'Oneri mensili'!$C$8,$B308-1+1)))</f>
      </c>
      <c r="Q308" s="82" t="str">
        <f t="shared" si="23"/>
      </c>
      <c r="R308" s="80"/>
      <c r="S308" s="81" t="str">
        <f t="shared" si="21"/>
      </c>
      <c r="T308" s="81" t="str">
        <f>IF(S308="","",J308/(POWER(1+'Oneri mensili'!$C$8,$B308-1+1)))</f>
      </c>
      <c r="U308" s="83" t="str">
        <f t="shared" si="24"/>
      </c>
      <c r="V308" s="81" t="str">
        <f>IF($B308="","",K308/(POWER(1+'Oneri mensili'!$C$8,$B308-1+1)))</f>
      </c>
      <c r="W308" s="80"/>
    </row>
    <row r="309" spans="1:23" s="85" customFormat="1">
      <c r="A309" s="76"/>
      <c r="B309" s="77" t="str">
        <f>IF($B308="","",IF($B308+1&gt;'Oneri mensili'!$C$4,"",Schema!B308+1))</f>
      </c>
      <c r="C309" s="78" t="str">
        <f>IF($B308="","",IF($B308+1&gt;'Oneri mensili'!$C$4,"",EOMONTH(C308,0)+1))</f>
      </c>
      <c r="D309" s="76"/>
      <c r="E309" s="78" t="str">
        <f>IF($B308="","",IF($B308+1&gt;'Oneri mensili'!$C$4,"",F308+1))</f>
      </c>
      <c r="F309" s="78" t="str">
        <f>IF($B308="","",IF($B308+1&gt;'Oneri mensili'!$C$4,"",EOMONTH(E309,0)))</f>
      </c>
      <c r="G309" s="79" t="str">
        <f>IF($B308="","",IF($B308+1&gt;'Oneri mensili'!$C$4,"",(F309-E309)+1)/DAY(F309))</f>
      </c>
      <c r="H309" s="80"/>
      <c r="I309" s="81" t="str">
        <f>IF($B308="","",IF($B308+1&gt;'Oneri mensili'!$C$4,"",I308-J308))</f>
      </c>
      <c r="J309" s="81" t="str">
        <f>IF($B308="","",IF($B308+1&gt;'Oneri mensili'!$C$4,"",IF(B308&lt;'Oneri mensili'!$C$11-1,0,IF('Oneri mensili'!$C$10=dropdowns!$B$186,'Oneri mensili'!$J$3,IF('Oneri mensili'!$C$10=dropdowns!$B$185,IFERROR('Oneri mensili'!$J$3-K309,0),0)))))</f>
      </c>
      <c r="K309" s="81" t="str">
        <f>IF($B308="","",IF($B308+1&gt;'Oneri mensili'!$C$4,"",G309*I309*'Oneri mensili'!$C$8))</f>
      </c>
      <c r="L309" s="81" t="str">
        <f t="shared" si="22"/>
      </c>
      <c r="M309" s="81" t="str">
        <f t="shared" si="20"/>
      </c>
      <c r="N309" s="80"/>
      <c r="O309" s="82" t="str">
        <f>IF($B309="","",'Oneri mensili'!$C$8)</f>
      </c>
      <c r="P309" s="82" t="str">
        <f>IF($B309="","",'Oneri mensili'!$C$8*(POWER(1+'Oneri mensili'!$C$8,$B309-1+1)))</f>
      </c>
      <c r="Q309" s="82" t="str">
        <f t="shared" si="23"/>
      </c>
      <c r="R309" s="80"/>
      <c r="S309" s="81" t="str">
        <f t="shared" si="21"/>
      </c>
      <c r="T309" s="81" t="str">
        <f>IF(S309="","",J309/(POWER(1+'Oneri mensili'!$C$8,$B309-1+1)))</f>
      </c>
      <c r="U309" s="83" t="str">
        <f t="shared" si="24"/>
      </c>
      <c r="V309" s="81" t="str">
        <f>IF($B309="","",K309/(POWER(1+'Oneri mensili'!$C$8,$B309-1+1)))</f>
      </c>
      <c r="W309" s="80"/>
    </row>
    <row r="310" spans="1:23" s="85" customFormat="1">
      <c r="A310" s="76"/>
      <c r="B310" s="77" t="str">
        <f>IF($B309="","",IF($B309+1&gt;'Oneri mensili'!$C$4,"",Schema!B309+1))</f>
      </c>
      <c r="C310" s="78" t="str">
        <f>IF($B309="","",IF($B309+1&gt;'Oneri mensili'!$C$4,"",EOMONTH(C309,0)+1))</f>
      </c>
      <c r="D310" s="76"/>
      <c r="E310" s="78" t="str">
        <f>IF($B309="","",IF($B309+1&gt;'Oneri mensili'!$C$4,"",F309+1))</f>
      </c>
      <c r="F310" s="78" t="str">
        <f>IF($B309="","",IF($B309+1&gt;'Oneri mensili'!$C$4,"",EOMONTH(E310,0)))</f>
      </c>
      <c r="G310" s="79" t="str">
        <f>IF($B309="","",IF($B309+1&gt;'Oneri mensili'!$C$4,"",(F310-E310)+1)/DAY(F310))</f>
      </c>
      <c r="H310" s="80"/>
      <c r="I310" s="81" t="str">
        <f>IF($B309="","",IF($B309+1&gt;'Oneri mensili'!$C$4,"",I309-J309))</f>
      </c>
      <c r="J310" s="81" t="str">
        <f>IF($B309="","",IF($B309+1&gt;'Oneri mensili'!$C$4,"",IF(B309&lt;'Oneri mensili'!$C$11-1,0,IF('Oneri mensili'!$C$10=dropdowns!$B$186,'Oneri mensili'!$J$3,IF('Oneri mensili'!$C$10=dropdowns!$B$185,IFERROR('Oneri mensili'!$J$3-K310,0),0)))))</f>
      </c>
      <c r="K310" s="81" t="str">
        <f>IF($B309="","",IF($B309+1&gt;'Oneri mensili'!$C$4,"",G310*I310*'Oneri mensili'!$C$8))</f>
      </c>
      <c r="L310" s="81" t="str">
        <f t="shared" si="22"/>
      </c>
      <c r="M310" s="81" t="str">
        <f t="shared" si="20"/>
      </c>
      <c r="N310" s="80"/>
      <c r="O310" s="82" t="str">
        <f>IF($B310="","",'Oneri mensili'!$C$8)</f>
      </c>
      <c r="P310" s="82" t="str">
        <f>IF($B310="","",'Oneri mensili'!$C$8*(POWER(1+'Oneri mensili'!$C$8,$B310-1+1)))</f>
      </c>
      <c r="Q310" s="82" t="str">
        <f t="shared" si="23"/>
      </c>
      <c r="R310" s="80"/>
      <c r="S310" s="81" t="str">
        <f t="shared" si="21"/>
      </c>
      <c r="T310" s="81" t="str">
        <f>IF(S310="","",J310/(POWER(1+'Oneri mensili'!$C$8,$B310-1+1)))</f>
      </c>
      <c r="U310" s="83" t="str">
        <f t="shared" si="24"/>
      </c>
      <c r="V310" s="81" t="str">
        <f>IF($B310="","",K310/(POWER(1+'Oneri mensili'!$C$8,$B310-1+1)))</f>
      </c>
      <c r="W310" s="80"/>
    </row>
    <row r="311" spans="1:23" s="85" customFormat="1">
      <c r="A311" s="76"/>
      <c r="B311" s="77" t="str">
        <f>IF($B310="","",IF($B310+1&gt;'Oneri mensili'!$C$4,"",Schema!B310+1))</f>
      </c>
      <c r="C311" s="78" t="str">
        <f>IF($B310="","",IF($B310+1&gt;'Oneri mensili'!$C$4,"",EOMONTH(C310,0)+1))</f>
      </c>
      <c r="D311" s="76"/>
      <c r="E311" s="78" t="str">
        <f>IF($B310="","",IF($B310+1&gt;'Oneri mensili'!$C$4,"",F310+1))</f>
      </c>
      <c r="F311" s="78" t="str">
        <f>IF($B310="","",IF($B310+1&gt;'Oneri mensili'!$C$4,"",EOMONTH(E311,0)))</f>
      </c>
      <c r="G311" s="79" t="str">
        <f>IF($B310="","",IF($B310+1&gt;'Oneri mensili'!$C$4,"",(F311-E311)+1)/DAY(F311))</f>
      </c>
      <c r="H311" s="80"/>
      <c r="I311" s="81" t="str">
        <f>IF($B310="","",IF($B310+1&gt;'Oneri mensili'!$C$4,"",I310-J310))</f>
      </c>
      <c r="J311" s="81" t="str">
        <f>IF($B310="","",IF($B310+1&gt;'Oneri mensili'!$C$4,"",IF(B310&lt;'Oneri mensili'!$C$11-1,0,IF('Oneri mensili'!$C$10=dropdowns!$B$186,'Oneri mensili'!$J$3,IF('Oneri mensili'!$C$10=dropdowns!$B$185,IFERROR('Oneri mensili'!$J$3-K311,0),0)))))</f>
      </c>
      <c r="K311" s="81" t="str">
        <f>IF($B310="","",IF($B310+1&gt;'Oneri mensili'!$C$4,"",G311*I311*'Oneri mensili'!$C$8))</f>
      </c>
      <c r="L311" s="81" t="str">
        <f t="shared" si="22"/>
      </c>
      <c r="M311" s="81" t="str">
        <f t="shared" si="20"/>
      </c>
      <c r="N311" s="80"/>
      <c r="O311" s="82" t="str">
        <f>IF($B311="","",'Oneri mensili'!$C$8)</f>
      </c>
      <c r="P311" s="82" t="str">
        <f>IF($B311="","",'Oneri mensili'!$C$8*(POWER(1+'Oneri mensili'!$C$8,$B311-1+1)))</f>
      </c>
      <c r="Q311" s="82" t="str">
        <f t="shared" si="23"/>
      </c>
      <c r="R311" s="80"/>
      <c r="S311" s="81" t="str">
        <f t="shared" si="21"/>
      </c>
      <c r="T311" s="81" t="str">
        <f>IF(S311="","",J311/(POWER(1+'Oneri mensili'!$C$8,$B311-1+1)))</f>
      </c>
      <c r="U311" s="83" t="str">
        <f t="shared" si="24"/>
      </c>
      <c r="V311" s="81" t="str">
        <f>IF($B311="","",K311/(POWER(1+'Oneri mensili'!$C$8,$B311-1+1)))</f>
      </c>
      <c r="W311" s="80"/>
    </row>
    <row r="312" spans="1:23" s="85" customFormat="1">
      <c r="A312" s="76"/>
      <c r="B312" s="77" t="str">
        <f>IF($B311="","",IF($B311+1&gt;'Oneri mensili'!$C$4,"",Schema!B311+1))</f>
      </c>
      <c r="C312" s="78" t="str">
        <f>IF($B311="","",IF($B311+1&gt;'Oneri mensili'!$C$4,"",EOMONTH(C311,0)+1))</f>
      </c>
      <c r="D312" s="76"/>
      <c r="E312" s="78" t="str">
        <f>IF($B311="","",IF($B311+1&gt;'Oneri mensili'!$C$4,"",F311+1))</f>
      </c>
      <c r="F312" s="78" t="str">
        <f>IF($B311="","",IF($B311+1&gt;'Oneri mensili'!$C$4,"",EOMONTH(E312,0)))</f>
      </c>
      <c r="G312" s="79" t="str">
        <f>IF($B311="","",IF($B311+1&gt;'Oneri mensili'!$C$4,"",(F312-E312)+1)/DAY(F312))</f>
      </c>
      <c r="H312" s="80"/>
      <c r="I312" s="81" t="str">
        <f>IF($B311="","",IF($B311+1&gt;'Oneri mensili'!$C$4,"",I311-J311))</f>
      </c>
      <c r="J312" s="81" t="str">
        <f>IF($B311="","",IF($B311+1&gt;'Oneri mensili'!$C$4,"",IF(B311&lt;'Oneri mensili'!$C$11-1,0,IF('Oneri mensili'!$C$10=dropdowns!$B$186,'Oneri mensili'!$J$3,IF('Oneri mensili'!$C$10=dropdowns!$B$185,IFERROR('Oneri mensili'!$J$3-K312,0),0)))))</f>
      </c>
      <c r="K312" s="81" t="str">
        <f>IF($B311="","",IF($B311+1&gt;'Oneri mensili'!$C$4,"",G312*I312*'Oneri mensili'!$C$8))</f>
      </c>
      <c r="L312" s="81" t="str">
        <f t="shared" si="22"/>
      </c>
      <c r="M312" s="81" t="str">
        <f t="shared" si="20"/>
      </c>
      <c r="N312" s="80"/>
      <c r="O312" s="82" t="str">
        <f>IF($B312="","",'Oneri mensili'!$C$8)</f>
      </c>
      <c r="P312" s="82" t="str">
        <f>IF($B312="","",'Oneri mensili'!$C$8*(POWER(1+'Oneri mensili'!$C$8,$B312-1+1)))</f>
      </c>
      <c r="Q312" s="82" t="str">
        <f t="shared" si="23"/>
      </c>
      <c r="R312" s="80"/>
      <c r="S312" s="81" t="str">
        <f t="shared" si="21"/>
      </c>
      <c r="T312" s="81" t="str">
        <f>IF(S312="","",J312/(POWER(1+'Oneri mensili'!$C$8,$B312-1+1)))</f>
      </c>
      <c r="U312" s="83" t="str">
        <f t="shared" si="24"/>
      </c>
      <c r="V312" s="81" t="str">
        <f>IF($B312="","",K312/(POWER(1+'Oneri mensili'!$C$8,$B312-1+1)))</f>
      </c>
      <c r="W312" s="80"/>
    </row>
    <row r="313" spans="1:23" s="85" customFormat="1">
      <c r="A313" s="76"/>
      <c r="B313" s="77" t="str">
        <f>IF($B312="","",IF($B312+1&gt;'Oneri mensili'!$C$4,"",Schema!B312+1))</f>
      </c>
      <c r="C313" s="78" t="str">
        <f>IF($B312="","",IF($B312+1&gt;'Oneri mensili'!$C$4,"",EOMONTH(C312,0)+1))</f>
      </c>
      <c r="D313" s="76"/>
      <c r="E313" s="78" t="str">
        <f>IF($B312="","",IF($B312+1&gt;'Oneri mensili'!$C$4,"",F312+1))</f>
      </c>
      <c r="F313" s="78" t="str">
        <f>IF($B312="","",IF($B312+1&gt;'Oneri mensili'!$C$4,"",EOMONTH(E313,0)))</f>
      </c>
      <c r="G313" s="79" t="str">
        <f>IF($B312="","",IF($B312+1&gt;'Oneri mensili'!$C$4,"",(F313-E313)+1)/DAY(F313))</f>
      </c>
      <c r="H313" s="80"/>
      <c r="I313" s="81" t="str">
        <f>IF($B312="","",IF($B312+1&gt;'Oneri mensili'!$C$4,"",I312-J312))</f>
      </c>
      <c r="J313" s="81" t="str">
        <f>IF($B312="","",IF($B312+1&gt;'Oneri mensili'!$C$4,"",IF(B312&lt;'Oneri mensili'!$C$11-1,0,IF('Oneri mensili'!$C$10=dropdowns!$B$186,'Oneri mensili'!$J$3,IF('Oneri mensili'!$C$10=dropdowns!$B$185,IFERROR('Oneri mensili'!$J$3-K313,0),0)))))</f>
      </c>
      <c r="K313" s="81" t="str">
        <f>IF($B312="","",IF($B312+1&gt;'Oneri mensili'!$C$4,"",G313*I313*'Oneri mensili'!$C$8))</f>
      </c>
      <c r="L313" s="81" t="str">
        <f t="shared" si="22"/>
      </c>
      <c r="M313" s="81" t="str">
        <f t="shared" si="20"/>
      </c>
      <c r="N313" s="80"/>
      <c r="O313" s="82" t="str">
        <f>IF($B313="","",'Oneri mensili'!$C$8)</f>
      </c>
      <c r="P313" s="82" t="str">
        <f>IF($B313="","",'Oneri mensili'!$C$8*(POWER(1+'Oneri mensili'!$C$8,$B313-1+1)))</f>
      </c>
      <c r="Q313" s="82" t="str">
        <f t="shared" si="23"/>
      </c>
      <c r="R313" s="80"/>
      <c r="S313" s="81" t="str">
        <f t="shared" si="21"/>
      </c>
      <c r="T313" s="81" t="str">
        <f>IF(S313="","",J313/(POWER(1+'Oneri mensili'!$C$8,$B313-1+1)))</f>
      </c>
      <c r="U313" s="83" t="str">
        <f t="shared" si="24"/>
      </c>
      <c r="V313" s="81" t="str">
        <f>IF($B313="","",K313/(POWER(1+'Oneri mensili'!$C$8,$B313-1+1)))</f>
      </c>
      <c r="W313" s="80"/>
    </row>
    <row r="314" spans="1:23" s="85" customFormat="1">
      <c r="A314" s="76"/>
      <c r="B314" s="77" t="str">
        <f>IF($B313="","",IF($B313+1&gt;'Oneri mensili'!$C$4,"",Schema!B313+1))</f>
      </c>
      <c r="C314" s="78" t="str">
        <f>IF($B313="","",IF($B313+1&gt;'Oneri mensili'!$C$4,"",EOMONTH(C313,0)+1))</f>
      </c>
      <c r="D314" s="76"/>
      <c r="E314" s="78" t="str">
        <f>IF($B313="","",IF($B313+1&gt;'Oneri mensili'!$C$4,"",F313+1))</f>
      </c>
      <c r="F314" s="78" t="str">
        <f>IF($B313="","",IF($B313+1&gt;'Oneri mensili'!$C$4,"",EOMONTH(E314,0)))</f>
      </c>
      <c r="G314" s="79" t="str">
        <f>IF($B313="","",IF($B313+1&gt;'Oneri mensili'!$C$4,"",(F314-E314)+1)/DAY(F314))</f>
      </c>
      <c r="H314" s="80"/>
      <c r="I314" s="81" t="str">
        <f>IF($B313="","",IF($B313+1&gt;'Oneri mensili'!$C$4,"",I313-J313))</f>
      </c>
      <c r="J314" s="81" t="str">
        <f>IF($B313="","",IF($B313+1&gt;'Oneri mensili'!$C$4,"",IF(B313&lt;'Oneri mensili'!$C$11-1,0,IF('Oneri mensili'!$C$10=dropdowns!$B$186,'Oneri mensili'!$J$3,IF('Oneri mensili'!$C$10=dropdowns!$B$185,IFERROR('Oneri mensili'!$J$3-K314,0),0)))))</f>
      </c>
      <c r="K314" s="81" t="str">
        <f>IF($B313="","",IF($B313+1&gt;'Oneri mensili'!$C$4,"",G314*I314*'Oneri mensili'!$C$8))</f>
      </c>
      <c r="L314" s="81" t="str">
        <f t="shared" si="22"/>
      </c>
      <c r="M314" s="81" t="str">
        <f t="shared" si="20"/>
      </c>
      <c r="N314" s="80"/>
      <c r="O314" s="82" t="str">
        <f>IF($B314="","",'Oneri mensili'!$C$8)</f>
      </c>
      <c r="P314" s="82" t="str">
        <f>IF($B314="","",'Oneri mensili'!$C$8*(POWER(1+'Oneri mensili'!$C$8,$B314-1+1)))</f>
      </c>
      <c r="Q314" s="82" t="str">
        <f t="shared" si="23"/>
      </c>
      <c r="R314" s="80"/>
      <c r="S314" s="81" t="str">
        <f t="shared" si="21"/>
      </c>
      <c r="T314" s="81" t="str">
        <f>IF(S314="","",J314/(POWER(1+'Oneri mensili'!$C$8,$B314-1+1)))</f>
      </c>
      <c r="U314" s="83" t="str">
        <f t="shared" si="24"/>
      </c>
      <c r="V314" s="81" t="str">
        <f>IF($B314="","",K314/(POWER(1+'Oneri mensili'!$C$8,$B314-1+1)))</f>
      </c>
      <c r="W314" s="80"/>
    </row>
    <row r="315" spans="1:23" s="85" customFormat="1">
      <c r="A315" s="76"/>
      <c r="B315" s="77" t="str">
        <f>IF($B314="","",IF($B314+1&gt;'Oneri mensili'!$C$4,"",Schema!B314+1))</f>
      </c>
      <c r="C315" s="78" t="str">
        <f>IF($B314="","",IF($B314+1&gt;'Oneri mensili'!$C$4,"",EOMONTH(C314,0)+1))</f>
      </c>
      <c r="D315" s="76"/>
      <c r="E315" s="78" t="str">
        <f>IF($B314="","",IF($B314+1&gt;'Oneri mensili'!$C$4,"",F314+1))</f>
      </c>
      <c r="F315" s="78" t="str">
        <f>IF($B314="","",IF($B314+1&gt;'Oneri mensili'!$C$4,"",EOMONTH(E315,0)))</f>
      </c>
      <c r="G315" s="79" t="str">
        <f>IF($B314="","",IF($B314+1&gt;'Oneri mensili'!$C$4,"",(F315-E315)+1)/DAY(F315))</f>
      </c>
      <c r="H315" s="80"/>
      <c r="I315" s="81" t="str">
        <f>IF($B314="","",IF($B314+1&gt;'Oneri mensili'!$C$4,"",I314-J314))</f>
      </c>
      <c r="J315" s="81" t="str">
        <f>IF($B314="","",IF($B314+1&gt;'Oneri mensili'!$C$4,"",IF(B314&lt;'Oneri mensili'!$C$11-1,0,IF('Oneri mensili'!$C$10=dropdowns!$B$186,'Oneri mensili'!$J$3,IF('Oneri mensili'!$C$10=dropdowns!$B$185,IFERROR('Oneri mensili'!$J$3-K315,0),0)))))</f>
      </c>
      <c r="K315" s="81" t="str">
        <f>IF($B314="","",IF($B314+1&gt;'Oneri mensili'!$C$4,"",G315*I315*'Oneri mensili'!$C$8))</f>
      </c>
      <c r="L315" s="81" t="str">
        <f t="shared" si="22"/>
      </c>
      <c r="M315" s="81" t="str">
        <f t="shared" si="20"/>
      </c>
      <c r="N315" s="80"/>
      <c r="O315" s="82" t="str">
        <f>IF($B315="","",'Oneri mensili'!$C$8)</f>
      </c>
      <c r="P315" s="82" t="str">
        <f>IF($B315="","",'Oneri mensili'!$C$8*(POWER(1+'Oneri mensili'!$C$8,$B315-1+1)))</f>
      </c>
      <c r="Q315" s="82" t="str">
        <f t="shared" si="23"/>
      </c>
      <c r="R315" s="80"/>
      <c r="S315" s="81" t="str">
        <f t="shared" si="21"/>
      </c>
      <c r="T315" s="81" t="str">
        <f>IF(S315="","",J315/(POWER(1+'Oneri mensili'!$C$8,$B315-1+1)))</f>
      </c>
      <c r="U315" s="83" t="str">
        <f t="shared" si="24"/>
      </c>
      <c r="V315" s="81" t="str">
        <f>IF($B315="","",K315/(POWER(1+'Oneri mensili'!$C$8,$B315-1+1)))</f>
      </c>
      <c r="W315" s="80"/>
    </row>
    <row r="316" spans="1:23" s="85" customFormat="1">
      <c r="A316" s="76"/>
      <c r="B316" s="77" t="str">
        <f>IF($B315="","",IF($B315+1&gt;'Oneri mensili'!$C$4,"",Schema!B315+1))</f>
      </c>
      <c r="C316" s="78" t="str">
        <f>IF($B315="","",IF($B315+1&gt;'Oneri mensili'!$C$4,"",EOMONTH(C315,0)+1))</f>
      </c>
      <c r="D316" s="76"/>
      <c r="E316" s="78" t="str">
        <f>IF($B315="","",IF($B315+1&gt;'Oneri mensili'!$C$4,"",F315+1))</f>
      </c>
      <c r="F316" s="78" t="str">
        <f>IF($B315="","",IF($B315+1&gt;'Oneri mensili'!$C$4,"",EOMONTH(E316,0)))</f>
      </c>
      <c r="G316" s="79" t="str">
        <f>IF($B315="","",IF($B315+1&gt;'Oneri mensili'!$C$4,"",(F316-E316)+1)/DAY(F316))</f>
      </c>
      <c r="H316" s="80"/>
      <c r="I316" s="81" t="str">
        <f>IF($B315="","",IF($B315+1&gt;'Oneri mensili'!$C$4,"",I315-J315))</f>
      </c>
      <c r="J316" s="81" t="str">
        <f>IF($B315="","",IF($B315+1&gt;'Oneri mensili'!$C$4,"",IF(B315&lt;'Oneri mensili'!$C$11-1,0,IF('Oneri mensili'!$C$10=dropdowns!$B$186,'Oneri mensili'!$J$3,IF('Oneri mensili'!$C$10=dropdowns!$B$185,IFERROR('Oneri mensili'!$J$3-K316,0),0)))))</f>
      </c>
      <c r="K316" s="81" t="str">
        <f>IF($B315="","",IF($B315+1&gt;'Oneri mensili'!$C$4,"",G316*I316*'Oneri mensili'!$C$8))</f>
      </c>
      <c r="L316" s="81" t="str">
        <f t="shared" si="22"/>
      </c>
      <c r="M316" s="81" t="str">
        <f t="shared" si="20"/>
      </c>
      <c r="N316" s="80"/>
      <c r="O316" s="82" t="str">
        <f>IF($B316="","",'Oneri mensili'!$C$8)</f>
      </c>
      <c r="P316" s="82" t="str">
        <f>IF($B316="","",'Oneri mensili'!$C$8*(POWER(1+'Oneri mensili'!$C$8,$B316-1+1)))</f>
      </c>
      <c r="Q316" s="82" t="str">
        <f t="shared" si="23"/>
      </c>
      <c r="R316" s="80"/>
      <c r="S316" s="81" t="str">
        <f t="shared" si="21"/>
      </c>
      <c r="T316" s="81" t="str">
        <f>IF(S316="","",J316/(POWER(1+'Oneri mensili'!$C$8,$B316-1+1)))</f>
      </c>
      <c r="U316" s="83" t="str">
        <f t="shared" si="24"/>
      </c>
      <c r="V316" s="81" t="str">
        <f>IF($B316="","",K316/(POWER(1+'Oneri mensili'!$C$8,$B316-1+1)))</f>
      </c>
      <c r="W316" s="80"/>
    </row>
    <row r="317" spans="1:23" s="85" customFormat="1">
      <c r="A317" s="76"/>
      <c r="B317" s="77" t="str">
        <f>IF($B316="","",IF($B316+1&gt;'Oneri mensili'!$C$4,"",Schema!B316+1))</f>
      </c>
      <c r="C317" s="78" t="str">
        <f>IF($B316="","",IF($B316+1&gt;'Oneri mensili'!$C$4,"",EOMONTH(C316,0)+1))</f>
      </c>
      <c r="D317" s="76"/>
      <c r="E317" s="78" t="str">
        <f>IF($B316="","",IF($B316+1&gt;'Oneri mensili'!$C$4,"",F316+1))</f>
      </c>
      <c r="F317" s="78" t="str">
        <f>IF($B316="","",IF($B316+1&gt;'Oneri mensili'!$C$4,"",EOMONTH(E317,0)))</f>
      </c>
      <c r="G317" s="79" t="str">
        <f>IF($B316="","",IF($B316+1&gt;'Oneri mensili'!$C$4,"",(F317-E317)+1)/DAY(F317))</f>
      </c>
      <c r="H317" s="80"/>
      <c r="I317" s="81" t="str">
        <f>IF($B316="","",IF($B316+1&gt;'Oneri mensili'!$C$4,"",I316-J316))</f>
      </c>
      <c r="J317" s="81" t="str">
        <f>IF($B316="","",IF($B316+1&gt;'Oneri mensili'!$C$4,"",IF(B316&lt;'Oneri mensili'!$C$11-1,0,IF('Oneri mensili'!$C$10=dropdowns!$B$186,'Oneri mensili'!$J$3,IF('Oneri mensili'!$C$10=dropdowns!$B$185,IFERROR('Oneri mensili'!$J$3-K317,0),0)))))</f>
      </c>
      <c r="K317" s="81" t="str">
        <f>IF($B316="","",IF($B316+1&gt;'Oneri mensili'!$C$4,"",G317*I317*'Oneri mensili'!$C$8))</f>
      </c>
      <c r="L317" s="81" t="str">
        <f t="shared" si="22"/>
      </c>
      <c r="M317" s="81" t="str">
        <f t="shared" si="20"/>
      </c>
      <c r="N317" s="80"/>
      <c r="O317" s="82" t="str">
        <f>IF($B317="","",'Oneri mensili'!$C$8)</f>
      </c>
      <c r="P317" s="82" t="str">
        <f>IF($B317="","",'Oneri mensili'!$C$8*(POWER(1+'Oneri mensili'!$C$8,$B317-1+1)))</f>
      </c>
      <c r="Q317" s="82" t="str">
        <f t="shared" si="23"/>
      </c>
      <c r="R317" s="80"/>
      <c r="S317" s="81" t="str">
        <f t="shared" si="21"/>
      </c>
      <c r="T317" s="81" t="str">
        <f>IF(S317="","",J317/(POWER(1+'Oneri mensili'!$C$8,$B317-1+1)))</f>
      </c>
      <c r="U317" s="83" t="str">
        <f t="shared" si="24"/>
      </c>
      <c r="V317" s="81" t="str">
        <f>IF($B317="","",K317/(POWER(1+'Oneri mensili'!$C$8,$B317-1+1)))</f>
      </c>
      <c r="W317" s="80"/>
    </row>
    <row r="318" spans="1:23" s="85" customFormat="1">
      <c r="A318" s="76"/>
      <c r="B318" s="77" t="str">
        <f>IF($B317="","",IF($B317+1&gt;'Oneri mensili'!$C$4,"",Schema!B317+1))</f>
      </c>
      <c r="C318" s="78" t="str">
        <f>IF($B317="","",IF($B317+1&gt;'Oneri mensili'!$C$4,"",EOMONTH(C317,0)+1))</f>
      </c>
      <c r="D318" s="76"/>
      <c r="E318" s="78" t="str">
        <f>IF($B317="","",IF($B317+1&gt;'Oneri mensili'!$C$4,"",F317+1))</f>
      </c>
      <c r="F318" s="78" t="str">
        <f>IF($B317="","",IF($B317+1&gt;'Oneri mensili'!$C$4,"",EOMONTH(E318,0)))</f>
      </c>
      <c r="G318" s="79" t="str">
        <f>IF($B317="","",IF($B317+1&gt;'Oneri mensili'!$C$4,"",(F318-E318)+1)/DAY(F318))</f>
      </c>
      <c r="H318" s="80"/>
      <c r="I318" s="81" t="str">
        <f>IF($B317="","",IF($B317+1&gt;'Oneri mensili'!$C$4,"",I317-J317))</f>
      </c>
      <c r="J318" s="81" t="str">
        <f>IF($B317="","",IF($B317+1&gt;'Oneri mensili'!$C$4,"",IF(B317&lt;'Oneri mensili'!$C$11-1,0,IF('Oneri mensili'!$C$10=dropdowns!$B$186,'Oneri mensili'!$J$3,IF('Oneri mensili'!$C$10=dropdowns!$B$185,IFERROR('Oneri mensili'!$J$3-K318,0),0)))))</f>
      </c>
      <c r="K318" s="81" t="str">
        <f>IF($B317="","",IF($B317+1&gt;'Oneri mensili'!$C$4,"",G318*I318*'Oneri mensili'!$C$8))</f>
      </c>
      <c r="L318" s="81" t="str">
        <f t="shared" si="22"/>
      </c>
      <c r="M318" s="81" t="str">
        <f t="shared" si="20"/>
      </c>
      <c r="N318" s="80"/>
      <c r="O318" s="82" t="str">
        <f>IF($B318="","",'Oneri mensili'!$C$8)</f>
      </c>
      <c r="P318" s="82" t="str">
        <f>IF($B318="","",'Oneri mensili'!$C$8*(POWER(1+'Oneri mensili'!$C$8,$B318-1+1)))</f>
      </c>
      <c r="Q318" s="82" t="str">
        <f t="shared" si="23"/>
      </c>
      <c r="R318" s="80"/>
      <c r="S318" s="81" t="str">
        <f t="shared" si="21"/>
      </c>
      <c r="T318" s="81" t="str">
        <f>IF(S318="","",J318/(POWER(1+'Oneri mensili'!$C$8,$B318-1+1)))</f>
      </c>
      <c r="U318" s="83" t="str">
        <f t="shared" si="24"/>
      </c>
      <c r="V318" s="81" t="str">
        <f>IF($B318="","",K318/(POWER(1+'Oneri mensili'!$C$8,$B318-1+1)))</f>
      </c>
      <c r="W318" s="80"/>
    </row>
    <row r="319" spans="1:23" s="85" customFormat="1">
      <c r="A319" s="76"/>
      <c r="B319" s="77" t="str">
        <f>IF($B318="","",IF($B318+1&gt;'Oneri mensili'!$C$4,"",Schema!B318+1))</f>
      </c>
      <c r="C319" s="78" t="str">
        <f>IF($B318="","",IF($B318+1&gt;'Oneri mensili'!$C$4,"",EOMONTH(C318,0)+1))</f>
      </c>
      <c r="D319" s="76"/>
      <c r="E319" s="78" t="str">
        <f>IF($B318="","",IF($B318+1&gt;'Oneri mensili'!$C$4,"",F318+1))</f>
      </c>
      <c r="F319" s="78" t="str">
        <f>IF($B318="","",IF($B318+1&gt;'Oneri mensili'!$C$4,"",EOMONTH(E319,0)))</f>
      </c>
      <c r="G319" s="79" t="str">
        <f>IF($B318="","",IF($B318+1&gt;'Oneri mensili'!$C$4,"",(F319-E319)+1)/DAY(F319))</f>
      </c>
      <c r="H319" s="80"/>
      <c r="I319" s="81" t="str">
        <f>IF($B318="","",IF($B318+1&gt;'Oneri mensili'!$C$4,"",I318-J318))</f>
      </c>
      <c r="J319" s="81" t="str">
        <f>IF($B318="","",IF($B318+1&gt;'Oneri mensili'!$C$4,"",IF(B318&lt;'Oneri mensili'!$C$11-1,0,IF('Oneri mensili'!$C$10=dropdowns!$B$186,'Oneri mensili'!$J$3,IF('Oneri mensili'!$C$10=dropdowns!$B$185,IFERROR('Oneri mensili'!$J$3-K319,0),0)))))</f>
      </c>
      <c r="K319" s="81" t="str">
        <f>IF($B318="","",IF($B318+1&gt;'Oneri mensili'!$C$4,"",G319*I319*'Oneri mensili'!$C$8))</f>
      </c>
      <c r="L319" s="81" t="str">
        <f t="shared" si="22"/>
      </c>
      <c r="M319" s="81" t="str">
        <f t="shared" si="20"/>
      </c>
      <c r="N319" s="80"/>
      <c r="O319" s="82" t="str">
        <f>IF($B319="","",'Oneri mensili'!$C$8)</f>
      </c>
      <c r="P319" s="82" t="str">
        <f>IF($B319="","",'Oneri mensili'!$C$8*(POWER(1+'Oneri mensili'!$C$8,$B319-1+1)))</f>
      </c>
      <c r="Q319" s="82" t="str">
        <f t="shared" si="23"/>
      </c>
      <c r="R319" s="80"/>
      <c r="S319" s="81" t="str">
        <f t="shared" si="21"/>
      </c>
      <c r="T319" s="81" t="str">
        <f>IF(S319="","",J319/(POWER(1+'Oneri mensili'!$C$8,$B319-1+1)))</f>
      </c>
      <c r="U319" s="83" t="str">
        <f t="shared" si="24"/>
      </c>
      <c r="V319" s="81" t="str">
        <f>IF($B319="","",K319/(POWER(1+'Oneri mensili'!$C$8,$B319-1+1)))</f>
      </c>
      <c r="W319" s="80"/>
    </row>
    <row r="320" spans="1:23" s="85" customFormat="1">
      <c r="A320" s="76"/>
      <c r="B320" s="77" t="str">
        <f>IF($B319="","",IF($B319+1&gt;'Oneri mensili'!$C$4,"",Schema!B319+1))</f>
      </c>
      <c r="C320" s="78" t="str">
        <f>IF($B319="","",IF($B319+1&gt;'Oneri mensili'!$C$4,"",EOMONTH(C319,0)+1))</f>
      </c>
      <c r="D320" s="76"/>
      <c r="E320" s="78" t="str">
        <f>IF($B319="","",IF($B319+1&gt;'Oneri mensili'!$C$4,"",F319+1))</f>
      </c>
      <c r="F320" s="78" t="str">
        <f>IF($B319="","",IF($B319+1&gt;'Oneri mensili'!$C$4,"",EOMONTH(E320,0)))</f>
      </c>
      <c r="G320" s="79" t="str">
        <f>IF($B319="","",IF($B319+1&gt;'Oneri mensili'!$C$4,"",(F320-E320)+1)/DAY(F320))</f>
      </c>
      <c r="H320" s="80"/>
      <c r="I320" s="81" t="str">
        <f>IF($B319="","",IF($B319+1&gt;'Oneri mensili'!$C$4,"",I319-J319))</f>
      </c>
      <c r="J320" s="81" t="str">
        <f>IF($B319="","",IF($B319+1&gt;'Oneri mensili'!$C$4,"",IF(B319&lt;'Oneri mensili'!$C$11-1,0,IF('Oneri mensili'!$C$10=dropdowns!$B$186,'Oneri mensili'!$J$3,IF('Oneri mensili'!$C$10=dropdowns!$B$185,IFERROR('Oneri mensili'!$J$3-K320,0),0)))))</f>
      </c>
      <c r="K320" s="81" t="str">
        <f>IF($B319="","",IF($B319+1&gt;'Oneri mensili'!$C$4,"",G320*I320*'Oneri mensili'!$C$8))</f>
      </c>
      <c r="L320" s="81" t="str">
        <f t="shared" si="22"/>
      </c>
      <c r="M320" s="81" t="str">
        <f t="shared" si="20"/>
      </c>
      <c r="N320" s="80"/>
      <c r="O320" s="82" t="str">
        <f>IF($B320="","",'Oneri mensili'!$C$8)</f>
      </c>
      <c r="P320" s="82" t="str">
        <f>IF($B320="","",'Oneri mensili'!$C$8*(POWER(1+'Oneri mensili'!$C$8,$B320-1+1)))</f>
      </c>
      <c r="Q320" s="82" t="str">
        <f t="shared" si="23"/>
      </c>
      <c r="R320" s="80"/>
      <c r="S320" s="81" t="str">
        <f t="shared" si="21"/>
      </c>
      <c r="T320" s="81" t="str">
        <f>IF(S320="","",J320/(POWER(1+'Oneri mensili'!$C$8,$B320-1+1)))</f>
      </c>
      <c r="U320" s="83" t="str">
        <f t="shared" si="24"/>
      </c>
      <c r="V320" s="81" t="str">
        <f>IF($B320="","",K320/(POWER(1+'Oneri mensili'!$C$8,$B320-1+1)))</f>
      </c>
      <c r="W320" s="80"/>
    </row>
    <row r="321" spans="1:23" s="85" customFormat="1">
      <c r="A321" s="76"/>
      <c r="B321" s="77" t="str">
        <f>IF($B320="","",IF($B320+1&gt;'Oneri mensili'!$C$4,"",Schema!B320+1))</f>
      </c>
      <c r="C321" s="78" t="str">
        <f>IF($B320="","",IF($B320+1&gt;'Oneri mensili'!$C$4,"",EOMONTH(C320,0)+1))</f>
      </c>
      <c r="D321" s="76"/>
      <c r="E321" s="78" t="str">
        <f>IF($B320="","",IF($B320+1&gt;'Oneri mensili'!$C$4,"",F320+1))</f>
      </c>
      <c r="F321" s="78" t="str">
        <f>IF($B320="","",IF($B320+1&gt;'Oneri mensili'!$C$4,"",EOMONTH(E321,0)))</f>
      </c>
      <c r="G321" s="79" t="str">
        <f>IF($B320="","",IF($B320+1&gt;'Oneri mensili'!$C$4,"",(F321-E321)+1)/DAY(F321))</f>
      </c>
      <c r="H321" s="80"/>
      <c r="I321" s="81" t="str">
        <f>IF($B320="","",IF($B320+1&gt;'Oneri mensili'!$C$4,"",I320-J320))</f>
      </c>
      <c r="J321" s="81" t="str">
        <f>IF($B320="","",IF($B320+1&gt;'Oneri mensili'!$C$4,"",IF(B320&lt;'Oneri mensili'!$C$11-1,0,IF('Oneri mensili'!$C$10=dropdowns!$B$186,'Oneri mensili'!$J$3,IF('Oneri mensili'!$C$10=dropdowns!$B$185,IFERROR('Oneri mensili'!$J$3-K321,0),0)))))</f>
      </c>
      <c r="K321" s="81" t="str">
        <f>IF($B320="","",IF($B320+1&gt;'Oneri mensili'!$C$4,"",G321*I321*'Oneri mensili'!$C$8))</f>
      </c>
      <c r="L321" s="81" t="str">
        <f t="shared" si="22"/>
      </c>
      <c r="M321" s="81" t="str">
        <f t="shared" si="20"/>
      </c>
      <c r="N321" s="80"/>
      <c r="O321" s="82" t="str">
        <f>IF($B321="","",'Oneri mensili'!$C$8)</f>
      </c>
      <c r="P321" s="82" t="str">
        <f>IF($B321="","",'Oneri mensili'!$C$8*(POWER(1+'Oneri mensili'!$C$8,$B321-1+1)))</f>
      </c>
      <c r="Q321" s="82" t="str">
        <f t="shared" si="23"/>
      </c>
      <c r="R321" s="80"/>
      <c r="S321" s="81" t="str">
        <f t="shared" si="21"/>
      </c>
      <c r="T321" s="81" t="str">
        <f>IF(S321="","",J321/(POWER(1+'Oneri mensili'!$C$8,$B321-1+1)))</f>
      </c>
      <c r="U321" s="83" t="str">
        <f t="shared" si="24"/>
      </c>
      <c r="V321" s="81" t="str">
        <f>IF($B321="","",K321/(POWER(1+'Oneri mensili'!$C$8,$B321-1+1)))</f>
      </c>
      <c r="W321" s="80"/>
    </row>
    <row r="322" spans="1:23" s="85" customFormat="1">
      <c r="A322" s="76"/>
      <c r="B322" s="77" t="str">
        <f>IF($B321="","",IF($B321+1&gt;'Oneri mensili'!$C$4,"",Schema!B321+1))</f>
      </c>
      <c r="C322" s="78" t="str">
        <f>IF($B321="","",IF($B321+1&gt;'Oneri mensili'!$C$4,"",EOMONTH(C321,0)+1))</f>
      </c>
      <c r="D322" s="76"/>
      <c r="E322" s="78" t="str">
        <f>IF($B321="","",IF($B321+1&gt;'Oneri mensili'!$C$4,"",F321+1))</f>
      </c>
      <c r="F322" s="78" t="str">
        <f>IF($B321="","",IF($B321+1&gt;'Oneri mensili'!$C$4,"",EOMONTH(E322,0)))</f>
      </c>
      <c r="G322" s="79" t="str">
        <f>IF($B321="","",IF($B321+1&gt;'Oneri mensili'!$C$4,"",(F322-E322)+1)/DAY(F322))</f>
      </c>
      <c r="H322" s="80"/>
      <c r="I322" s="81" t="str">
        <f>IF($B321="","",IF($B321+1&gt;'Oneri mensili'!$C$4,"",I321-J321))</f>
      </c>
      <c r="J322" s="81" t="str">
        <f>IF($B321="","",IF($B321+1&gt;'Oneri mensili'!$C$4,"",IF(B321&lt;'Oneri mensili'!$C$11-1,0,IF('Oneri mensili'!$C$10=dropdowns!$B$186,'Oneri mensili'!$J$3,IF('Oneri mensili'!$C$10=dropdowns!$B$185,IFERROR('Oneri mensili'!$J$3-K322,0),0)))))</f>
      </c>
      <c r="K322" s="81" t="str">
        <f>IF($B321="","",IF($B321+1&gt;'Oneri mensili'!$C$4,"",G322*I322*'Oneri mensili'!$C$8))</f>
      </c>
      <c r="L322" s="81" t="str">
        <f t="shared" si="22"/>
      </c>
      <c r="M322" s="81" t="str">
        <f t="shared" si="20"/>
      </c>
      <c r="N322" s="80"/>
      <c r="O322" s="82" t="str">
        <f>IF($B322="","",'Oneri mensili'!$C$8)</f>
      </c>
      <c r="P322" s="82" t="str">
        <f>IF($B322="","",'Oneri mensili'!$C$8*(POWER(1+'Oneri mensili'!$C$8,$B322-1+1)))</f>
      </c>
      <c r="Q322" s="82" t="str">
        <f t="shared" si="23"/>
      </c>
      <c r="R322" s="80"/>
      <c r="S322" s="81" t="str">
        <f t="shared" si="21"/>
      </c>
      <c r="T322" s="81" t="str">
        <f>IF(S322="","",J322/(POWER(1+'Oneri mensili'!$C$8,$B322-1+1)))</f>
      </c>
      <c r="U322" s="83" t="str">
        <f t="shared" si="24"/>
      </c>
      <c r="V322" s="81" t="str">
        <f>IF($B322="","",K322/(POWER(1+'Oneri mensili'!$C$8,$B322-1+1)))</f>
      </c>
      <c r="W322" s="80"/>
    </row>
    <row r="323" spans="1:23" s="85" customFormat="1">
      <c r="A323" s="76"/>
      <c r="B323" s="77" t="str">
        <f>IF($B322="","",IF($B322+1&gt;'Oneri mensili'!$C$4,"",Schema!B322+1))</f>
      </c>
      <c r="C323" s="78" t="str">
        <f>IF($B322="","",IF($B322+1&gt;'Oneri mensili'!$C$4,"",EOMONTH(C322,0)+1))</f>
      </c>
      <c r="D323" s="76"/>
      <c r="E323" s="78" t="str">
        <f>IF($B322="","",IF($B322+1&gt;'Oneri mensili'!$C$4,"",F322+1))</f>
      </c>
      <c r="F323" s="78" t="str">
        <f>IF($B322="","",IF($B322+1&gt;'Oneri mensili'!$C$4,"",EOMONTH(E323,0)))</f>
      </c>
      <c r="G323" s="79" t="str">
        <f>IF($B322="","",IF($B322+1&gt;'Oneri mensili'!$C$4,"",(F323-E323)+1)/DAY(F323))</f>
      </c>
      <c r="H323" s="80"/>
      <c r="I323" s="81" t="str">
        <f>IF($B322="","",IF($B322+1&gt;'Oneri mensili'!$C$4,"",I322-J322))</f>
      </c>
      <c r="J323" s="81" t="str">
        <f>IF($B322="","",IF($B322+1&gt;'Oneri mensili'!$C$4,"",IF(B322&lt;'Oneri mensili'!$C$11-1,0,IF('Oneri mensili'!$C$10=dropdowns!$B$186,'Oneri mensili'!$J$3,IF('Oneri mensili'!$C$10=dropdowns!$B$185,IFERROR('Oneri mensili'!$J$3-K323,0),0)))))</f>
      </c>
      <c r="K323" s="81" t="str">
        <f>IF($B322="","",IF($B322+1&gt;'Oneri mensili'!$C$4,"",G323*I323*'Oneri mensili'!$C$8))</f>
      </c>
      <c r="L323" s="81" t="str">
        <f t="shared" si="22"/>
      </c>
      <c r="M323" s="81" t="str">
        <f t="shared" si="20"/>
      </c>
      <c r="N323" s="80"/>
      <c r="O323" s="82" t="str">
        <f>IF($B323="","",'Oneri mensili'!$C$8)</f>
      </c>
      <c r="P323" s="82" t="str">
        <f>IF($B323="","",'Oneri mensili'!$C$8*(POWER(1+'Oneri mensili'!$C$8,$B323-1+1)))</f>
      </c>
      <c r="Q323" s="82" t="str">
        <f t="shared" si="23"/>
      </c>
      <c r="R323" s="80"/>
      <c r="S323" s="81" t="str">
        <f t="shared" si="21"/>
      </c>
      <c r="T323" s="81" t="str">
        <f>IF(S323="","",J323/(POWER(1+'Oneri mensili'!$C$8,$B323-1+1)))</f>
      </c>
      <c r="U323" s="83" t="str">
        <f t="shared" si="24"/>
      </c>
      <c r="V323" s="81" t="str">
        <f>IF($B323="","",K323/(POWER(1+'Oneri mensili'!$C$8,$B323-1+1)))</f>
      </c>
      <c r="W323" s="80"/>
    </row>
    <row r="324" spans="1:23" s="85" customFormat="1">
      <c r="A324" s="76"/>
      <c r="B324" s="77" t="str">
        <f>IF($B323="","",IF($B323+1&gt;'Oneri mensili'!$C$4,"",Schema!B323+1))</f>
      </c>
      <c r="C324" s="78" t="str">
        <f>IF($B323="","",IF($B323+1&gt;'Oneri mensili'!$C$4,"",EOMONTH(C323,0)+1))</f>
      </c>
      <c r="D324" s="76"/>
      <c r="E324" s="78" t="str">
        <f>IF($B323="","",IF($B323+1&gt;'Oneri mensili'!$C$4,"",F323+1))</f>
      </c>
      <c r="F324" s="78" t="str">
        <f>IF($B323="","",IF($B323+1&gt;'Oneri mensili'!$C$4,"",EOMONTH(E324,0)))</f>
      </c>
      <c r="G324" s="79" t="str">
        <f>IF($B323="","",IF($B323+1&gt;'Oneri mensili'!$C$4,"",(F324-E324)+1)/DAY(F324))</f>
      </c>
      <c r="H324" s="80"/>
      <c r="I324" s="81" t="str">
        <f>IF($B323="","",IF($B323+1&gt;'Oneri mensili'!$C$4,"",I323-J323))</f>
      </c>
      <c r="J324" s="81" t="str">
        <f>IF($B323="","",IF($B323+1&gt;'Oneri mensili'!$C$4,"",IF(B323&lt;'Oneri mensili'!$C$11-1,0,IF('Oneri mensili'!$C$10=dropdowns!$B$186,'Oneri mensili'!$J$3,IF('Oneri mensili'!$C$10=dropdowns!$B$185,IFERROR('Oneri mensili'!$J$3-K324,0),0)))))</f>
      </c>
      <c r="K324" s="81" t="str">
        <f>IF($B323="","",IF($B323+1&gt;'Oneri mensili'!$C$4,"",G324*I324*'Oneri mensili'!$C$8))</f>
      </c>
      <c r="L324" s="81" t="str">
        <f t="shared" si="22"/>
      </c>
      <c r="M324" s="81" t="str">
        <f t="shared" si="20"/>
      </c>
      <c r="N324" s="80"/>
      <c r="O324" s="82" t="str">
        <f>IF($B324="","",'Oneri mensili'!$C$8)</f>
      </c>
      <c r="P324" s="82" t="str">
        <f>IF($B324="","",'Oneri mensili'!$C$8*(POWER(1+'Oneri mensili'!$C$8,$B324-1+1)))</f>
      </c>
      <c r="Q324" s="82" t="str">
        <f t="shared" si="23"/>
      </c>
      <c r="R324" s="80"/>
      <c r="S324" s="81" t="str">
        <f t="shared" si="21"/>
      </c>
      <c r="T324" s="81" t="str">
        <f>IF(S324="","",J324/(POWER(1+'Oneri mensili'!$C$8,$B324-1+1)))</f>
      </c>
      <c r="U324" s="83" t="str">
        <f t="shared" si="24"/>
      </c>
      <c r="V324" s="81" t="str">
        <f>IF($B324="","",K324/(POWER(1+'Oneri mensili'!$C$8,$B324-1+1)))</f>
      </c>
      <c r="W324" s="80"/>
    </row>
    <row r="325" spans="1:23" s="85" customFormat="1">
      <c r="A325" s="76"/>
      <c r="B325" s="77" t="str">
        <f>IF($B324="","",IF($B324+1&gt;'Oneri mensili'!$C$4,"",Schema!B324+1))</f>
      </c>
      <c r="C325" s="78" t="str">
        <f>IF($B324="","",IF($B324+1&gt;'Oneri mensili'!$C$4,"",EOMONTH(C324,0)+1))</f>
      </c>
      <c r="D325" s="76"/>
      <c r="E325" s="78" t="str">
        <f>IF($B324="","",IF($B324+1&gt;'Oneri mensili'!$C$4,"",F324+1))</f>
      </c>
      <c r="F325" s="78" t="str">
        <f>IF($B324="","",IF($B324+1&gt;'Oneri mensili'!$C$4,"",EOMONTH(E325,0)))</f>
      </c>
      <c r="G325" s="79" t="str">
        <f>IF($B324="","",IF($B324+1&gt;'Oneri mensili'!$C$4,"",(F325-E325)+1)/DAY(F325))</f>
      </c>
      <c r="H325" s="80"/>
      <c r="I325" s="81" t="str">
        <f>IF($B324="","",IF($B324+1&gt;'Oneri mensili'!$C$4,"",I324-J324))</f>
      </c>
      <c r="J325" s="81" t="str">
        <f>IF($B324="","",IF($B324+1&gt;'Oneri mensili'!$C$4,"",IF(B324&lt;'Oneri mensili'!$C$11-1,0,IF('Oneri mensili'!$C$10=dropdowns!$B$186,'Oneri mensili'!$J$3,IF('Oneri mensili'!$C$10=dropdowns!$B$185,IFERROR('Oneri mensili'!$J$3-K325,0),0)))))</f>
      </c>
      <c r="K325" s="81" t="str">
        <f>IF($B324="","",IF($B324+1&gt;'Oneri mensili'!$C$4,"",G325*I325*'Oneri mensili'!$C$8))</f>
      </c>
      <c r="L325" s="81" t="str">
        <f t="shared" si="22"/>
      </c>
      <c r="M325" s="81" t="str">
        <f t="shared" si="20"/>
      </c>
      <c r="N325" s="80"/>
      <c r="O325" s="82" t="str">
        <f>IF($B325="","",'Oneri mensili'!$C$8)</f>
      </c>
      <c r="P325" s="82" t="str">
        <f>IF($B325="","",'Oneri mensili'!$C$8*(POWER(1+'Oneri mensili'!$C$8,$B325-1+1)))</f>
      </c>
      <c r="Q325" s="82" t="str">
        <f t="shared" si="23"/>
      </c>
      <c r="R325" s="80"/>
      <c r="S325" s="81" t="str">
        <f t="shared" si="21"/>
      </c>
      <c r="T325" s="81" t="str">
        <f>IF(S325="","",J325/(POWER(1+'Oneri mensili'!$C$8,$B325-1+1)))</f>
      </c>
      <c r="U325" s="83" t="str">
        <f t="shared" si="24"/>
      </c>
      <c r="V325" s="81" t="str">
        <f>IF($B325="","",K325/(POWER(1+'Oneri mensili'!$C$8,$B325-1+1)))</f>
      </c>
      <c r="W325" s="80"/>
    </row>
    <row r="326" spans="1:23" s="85" customFormat="1">
      <c r="A326" s="76"/>
      <c r="B326" s="77" t="str">
        <f>IF($B325="","",IF($B325+1&gt;'Oneri mensili'!$C$4,"",Schema!B325+1))</f>
      </c>
      <c r="C326" s="78" t="str">
        <f>IF($B325="","",IF($B325+1&gt;'Oneri mensili'!$C$4,"",EOMONTH(C325,0)+1))</f>
      </c>
      <c r="D326" s="76"/>
      <c r="E326" s="78" t="str">
        <f>IF($B325="","",IF($B325+1&gt;'Oneri mensili'!$C$4,"",F325+1))</f>
      </c>
      <c r="F326" s="78" t="str">
        <f>IF($B325="","",IF($B325+1&gt;'Oneri mensili'!$C$4,"",EOMONTH(E326,0)))</f>
      </c>
      <c r="G326" s="79" t="str">
        <f>IF($B325="","",IF($B325+1&gt;'Oneri mensili'!$C$4,"",(F326-E326)+1)/DAY(F326))</f>
      </c>
      <c r="H326" s="80"/>
      <c r="I326" s="81" t="str">
        <f>IF($B325="","",IF($B325+1&gt;'Oneri mensili'!$C$4,"",I325-J325))</f>
      </c>
      <c r="J326" s="81" t="str">
        <f>IF($B325="","",IF($B325+1&gt;'Oneri mensili'!$C$4,"",IF(B325&lt;'Oneri mensili'!$C$11-1,0,IF('Oneri mensili'!$C$10=dropdowns!$B$186,'Oneri mensili'!$J$3,IF('Oneri mensili'!$C$10=dropdowns!$B$185,IFERROR('Oneri mensili'!$J$3-K326,0),0)))))</f>
      </c>
      <c r="K326" s="81" t="str">
        <f>IF($B325="","",IF($B325+1&gt;'Oneri mensili'!$C$4,"",G326*I326*'Oneri mensili'!$C$8))</f>
      </c>
      <c r="L326" s="81" t="str">
        <f t="shared" si="22"/>
      </c>
      <c r="M326" s="81" t="str">
        <f t="shared" si="20"/>
      </c>
      <c r="N326" s="80"/>
      <c r="O326" s="82" t="str">
        <f>IF($B326="","",'Oneri mensili'!$C$8)</f>
      </c>
      <c r="P326" s="82" t="str">
        <f>IF($B326="","",'Oneri mensili'!$C$8*(POWER(1+'Oneri mensili'!$C$8,$B326-1+1)))</f>
      </c>
      <c r="Q326" s="82" t="str">
        <f t="shared" si="23"/>
      </c>
      <c r="R326" s="80"/>
      <c r="S326" s="81" t="str">
        <f t="shared" si="21"/>
      </c>
      <c r="T326" s="81" t="str">
        <f>IF(S326="","",J326/(POWER(1+'Oneri mensili'!$C$8,$B326-1+1)))</f>
      </c>
      <c r="U326" s="83" t="str">
        <f t="shared" si="24"/>
      </c>
      <c r="V326" s="81" t="str">
        <f>IF($B326="","",K326/(POWER(1+'Oneri mensili'!$C$8,$B326-1+1)))</f>
      </c>
      <c r="W326" s="80"/>
    </row>
    <row r="327" spans="1:23" s="85" customFormat="1">
      <c r="A327" s="76"/>
      <c r="B327" s="77" t="str">
        <f>IF($B326="","",IF($B326+1&gt;'Oneri mensili'!$C$4,"",Schema!B326+1))</f>
      </c>
      <c r="C327" s="78" t="str">
        <f>IF($B326="","",IF($B326+1&gt;'Oneri mensili'!$C$4,"",EOMONTH(C326,0)+1))</f>
      </c>
      <c r="D327" s="76"/>
      <c r="E327" s="78" t="str">
        <f>IF($B326="","",IF($B326+1&gt;'Oneri mensili'!$C$4,"",F326+1))</f>
      </c>
      <c r="F327" s="78" t="str">
        <f>IF($B326="","",IF($B326+1&gt;'Oneri mensili'!$C$4,"",EOMONTH(E327,0)))</f>
      </c>
      <c r="G327" s="79" t="str">
        <f>IF($B326="","",IF($B326+1&gt;'Oneri mensili'!$C$4,"",(F327-E327)+1)/DAY(F327))</f>
      </c>
      <c r="H327" s="80"/>
      <c r="I327" s="81" t="str">
        <f>IF($B326="","",IF($B326+1&gt;'Oneri mensili'!$C$4,"",I326-J326))</f>
      </c>
      <c r="J327" s="81" t="str">
        <f>IF($B326="","",IF($B326+1&gt;'Oneri mensili'!$C$4,"",IF(B326&lt;'Oneri mensili'!$C$11-1,0,IF('Oneri mensili'!$C$10=dropdowns!$B$186,'Oneri mensili'!$J$3,IF('Oneri mensili'!$C$10=dropdowns!$B$185,IFERROR('Oneri mensili'!$J$3-K327,0),0)))))</f>
      </c>
      <c r="K327" s="81" t="str">
        <f>IF($B326="","",IF($B326+1&gt;'Oneri mensili'!$C$4,"",G327*I327*'Oneri mensili'!$C$8))</f>
      </c>
      <c r="L327" s="81" t="str">
        <f t="shared" si="22"/>
      </c>
      <c r="M327" s="81" t="str">
        <f t="shared" si="20"/>
      </c>
      <c r="N327" s="80"/>
      <c r="O327" s="82" t="str">
        <f>IF($B327="","",'Oneri mensili'!$C$8)</f>
      </c>
      <c r="P327" s="82" t="str">
        <f>IF($B327="","",'Oneri mensili'!$C$8*(POWER(1+'Oneri mensili'!$C$8,$B327-1+1)))</f>
      </c>
      <c r="Q327" s="82" t="str">
        <f t="shared" si="23"/>
      </c>
      <c r="R327" s="80"/>
      <c r="S327" s="81" t="str">
        <f t="shared" si="21"/>
      </c>
      <c r="T327" s="81" t="str">
        <f>IF(S327="","",J327/(POWER(1+'Oneri mensili'!$C$8,$B327-1+1)))</f>
      </c>
      <c r="U327" s="83" t="str">
        <f t="shared" si="24"/>
      </c>
      <c r="V327" s="81" t="str">
        <f>IF($B327="","",K327/(POWER(1+'Oneri mensili'!$C$8,$B327-1+1)))</f>
      </c>
      <c r="W327" s="80"/>
    </row>
    <row r="328" spans="1:23" s="85" customFormat="1">
      <c r="A328" s="76"/>
      <c r="B328" s="77" t="str">
        <f>IF($B327="","",IF($B327+1&gt;'Oneri mensili'!$C$4,"",Schema!B327+1))</f>
      </c>
      <c r="C328" s="78" t="str">
        <f>IF($B327="","",IF($B327+1&gt;'Oneri mensili'!$C$4,"",EOMONTH(C327,0)+1))</f>
      </c>
      <c r="D328" s="76"/>
      <c r="E328" s="78" t="str">
        <f>IF($B327="","",IF($B327+1&gt;'Oneri mensili'!$C$4,"",F327+1))</f>
      </c>
      <c r="F328" s="78" t="str">
        <f>IF($B327="","",IF($B327+1&gt;'Oneri mensili'!$C$4,"",EOMONTH(E328,0)))</f>
      </c>
      <c r="G328" s="79" t="str">
        <f>IF($B327="","",IF($B327+1&gt;'Oneri mensili'!$C$4,"",(F328-E328)+1)/DAY(F328))</f>
      </c>
      <c r="H328" s="80"/>
      <c r="I328" s="81" t="str">
        <f>IF($B327="","",IF($B327+1&gt;'Oneri mensili'!$C$4,"",I327-J327))</f>
      </c>
      <c r="J328" s="81" t="str">
        <f>IF($B327="","",IF($B327+1&gt;'Oneri mensili'!$C$4,"",IF(B327&lt;'Oneri mensili'!$C$11-1,0,IF('Oneri mensili'!$C$10=dropdowns!$B$186,'Oneri mensili'!$J$3,IF('Oneri mensili'!$C$10=dropdowns!$B$185,IFERROR('Oneri mensili'!$J$3-K328,0),0)))))</f>
      </c>
      <c r="K328" s="81" t="str">
        <f>IF($B327="","",IF($B327+1&gt;'Oneri mensili'!$C$4,"",G328*I328*'Oneri mensili'!$C$8))</f>
      </c>
      <c r="L328" s="81" t="str">
        <f t="shared" si="22"/>
      </c>
      <c r="M328" s="81" t="str">
        <f t="shared" si="20"/>
      </c>
      <c r="N328" s="80"/>
      <c r="O328" s="82" t="str">
        <f>IF($B328="","",'Oneri mensili'!$C$8)</f>
      </c>
      <c r="P328" s="82" t="str">
        <f>IF($B328="","",'Oneri mensili'!$C$8*(POWER(1+'Oneri mensili'!$C$8,$B328-1+1)))</f>
      </c>
      <c r="Q328" s="82" t="str">
        <f t="shared" si="23"/>
      </c>
      <c r="R328" s="80"/>
      <c r="S328" s="81" t="str">
        <f t="shared" si="21"/>
      </c>
      <c r="T328" s="81" t="str">
        <f>IF(S328="","",J328/(POWER(1+'Oneri mensili'!$C$8,$B328-1+1)))</f>
      </c>
      <c r="U328" s="83" t="str">
        <f t="shared" si="24"/>
      </c>
      <c r="V328" s="81" t="str">
        <f>IF($B328="","",K328/(POWER(1+'Oneri mensili'!$C$8,$B328-1+1)))</f>
      </c>
      <c r="W328" s="80"/>
    </row>
    <row r="329" spans="1:23" s="85" customFormat="1">
      <c r="A329" s="76"/>
      <c r="B329" s="77" t="str">
        <f>IF($B328="","",IF($B328+1&gt;'Oneri mensili'!$C$4,"",Schema!B328+1))</f>
      </c>
      <c r="C329" s="78" t="str">
        <f>IF($B328="","",IF($B328+1&gt;'Oneri mensili'!$C$4,"",EOMONTH(C328,0)+1))</f>
      </c>
      <c r="D329" s="76"/>
      <c r="E329" s="78" t="str">
        <f>IF($B328="","",IF($B328+1&gt;'Oneri mensili'!$C$4,"",F328+1))</f>
      </c>
      <c r="F329" s="78" t="str">
        <f>IF($B328="","",IF($B328+1&gt;'Oneri mensili'!$C$4,"",EOMONTH(E329,0)))</f>
      </c>
      <c r="G329" s="79" t="str">
        <f>IF($B328="","",IF($B328+1&gt;'Oneri mensili'!$C$4,"",(F329-E329)+1)/DAY(F329))</f>
      </c>
      <c r="H329" s="80"/>
      <c r="I329" s="81" t="str">
        <f>IF($B328="","",IF($B328+1&gt;'Oneri mensili'!$C$4,"",I328-J328))</f>
      </c>
      <c r="J329" s="81" t="str">
        <f>IF($B328="","",IF($B328+1&gt;'Oneri mensili'!$C$4,"",IF(B328&lt;'Oneri mensili'!$C$11-1,0,IF('Oneri mensili'!$C$10=dropdowns!$B$186,'Oneri mensili'!$J$3,IF('Oneri mensili'!$C$10=dropdowns!$B$185,IFERROR('Oneri mensili'!$J$3-K329,0),0)))))</f>
      </c>
      <c r="K329" s="81" t="str">
        <f>IF($B328="","",IF($B328+1&gt;'Oneri mensili'!$C$4,"",G329*I329*'Oneri mensili'!$C$8))</f>
      </c>
      <c r="L329" s="81" t="str">
        <f t="shared" si="22"/>
      </c>
      <c r="M329" s="81" t="str">
        <f t="shared" si="20"/>
      </c>
      <c r="N329" s="80"/>
      <c r="O329" s="82" t="str">
        <f>IF($B329="","",'Oneri mensili'!$C$8)</f>
      </c>
      <c r="P329" s="82" t="str">
        <f>IF($B329="","",'Oneri mensili'!$C$8*(POWER(1+'Oneri mensili'!$C$8,$B329-1+1)))</f>
      </c>
      <c r="Q329" s="82" t="str">
        <f t="shared" si="23"/>
      </c>
      <c r="R329" s="80"/>
      <c r="S329" s="81" t="str">
        <f t="shared" si="21"/>
      </c>
      <c r="T329" s="81" t="str">
        <f>IF(S329="","",J329/(POWER(1+'Oneri mensili'!$C$8,$B329-1+1)))</f>
      </c>
      <c r="U329" s="83" t="str">
        <f t="shared" si="24"/>
      </c>
      <c r="V329" s="81" t="str">
        <f>IF($B329="","",K329/(POWER(1+'Oneri mensili'!$C$8,$B329-1+1)))</f>
      </c>
      <c r="W329" s="80"/>
    </row>
    <row r="330" spans="1:23" s="85" customFormat="1">
      <c r="A330" s="76"/>
      <c r="B330" s="77" t="str">
        <f>IF($B329="","",IF($B329+1&gt;'Oneri mensili'!$C$4,"",Schema!B329+1))</f>
      </c>
      <c r="C330" s="78" t="str">
        <f>IF($B329="","",IF($B329+1&gt;'Oneri mensili'!$C$4,"",EOMONTH(C329,0)+1))</f>
      </c>
      <c r="D330" s="76"/>
      <c r="E330" s="78" t="str">
        <f>IF($B329="","",IF($B329+1&gt;'Oneri mensili'!$C$4,"",F329+1))</f>
      </c>
      <c r="F330" s="78" t="str">
        <f>IF($B329="","",IF($B329+1&gt;'Oneri mensili'!$C$4,"",EOMONTH(E330,0)))</f>
      </c>
      <c r="G330" s="79" t="str">
        <f>IF($B329="","",IF($B329+1&gt;'Oneri mensili'!$C$4,"",(F330-E330)+1)/DAY(F330))</f>
      </c>
      <c r="H330" s="80"/>
      <c r="I330" s="81" t="str">
        <f>IF($B329="","",IF($B329+1&gt;'Oneri mensili'!$C$4,"",I329-J329))</f>
      </c>
      <c r="J330" s="81" t="str">
        <f>IF($B329="","",IF($B329+1&gt;'Oneri mensili'!$C$4,"",IF(B329&lt;'Oneri mensili'!$C$11-1,0,IF('Oneri mensili'!$C$10=dropdowns!$B$186,'Oneri mensili'!$J$3,IF('Oneri mensili'!$C$10=dropdowns!$B$185,IFERROR('Oneri mensili'!$J$3-K330,0),0)))))</f>
      </c>
      <c r="K330" s="81" t="str">
        <f>IF($B329="","",IF($B329+1&gt;'Oneri mensili'!$C$4,"",G330*I330*'Oneri mensili'!$C$8))</f>
      </c>
      <c r="L330" s="81" t="str">
        <f t="shared" si="22"/>
      </c>
      <c r="M330" s="81" t="str">
        <f t="shared" ref="M330:M369" si="25">IF(S330="","",-K330-J330)</f>
      </c>
      <c r="N330" s="80"/>
      <c r="O330" s="82" t="str">
        <f>IF($B330="","",'Oneri mensili'!$C$8)</f>
      </c>
      <c r="P330" s="82" t="str">
        <f>IF($B330="","",'Oneri mensili'!$C$8*(POWER(1+'Oneri mensili'!$C$8,$B330-1+1)))</f>
      </c>
      <c r="Q330" s="82" t="str">
        <f t="shared" si="23"/>
      </c>
      <c r="R330" s="80"/>
      <c r="S330" s="81" t="str">
        <f t="shared" ref="S330:S369" si="26">IF(B330="","",IF(S329-T329&lt;0,"",S329-T329))</f>
      </c>
      <c r="T330" s="81" t="str">
        <f>IF(S330="","",J330/(POWER(1+'Oneri mensili'!$C$8,$B330-1+1)))</f>
      </c>
      <c r="U330" s="83" t="str">
        <f t="shared" si="24"/>
      </c>
      <c r="V330" s="81" t="str">
        <f>IF($B330="","",K330/(POWER(1+'Oneri mensili'!$C$8,$B330-1+1)))</f>
      </c>
      <c r="W330" s="80"/>
    </row>
    <row r="331" spans="1:23" s="85" customFormat="1">
      <c r="A331" s="76"/>
      <c r="B331" s="77" t="str">
        <f>IF($B330="","",IF($B330+1&gt;'Oneri mensili'!$C$4,"",Schema!B330+1))</f>
      </c>
      <c r="C331" s="78" t="str">
        <f>IF($B330="","",IF($B330+1&gt;'Oneri mensili'!$C$4,"",EOMONTH(C330,0)+1))</f>
      </c>
      <c r="D331" s="76"/>
      <c r="E331" s="78" t="str">
        <f>IF($B330="","",IF($B330+1&gt;'Oneri mensili'!$C$4,"",F330+1))</f>
      </c>
      <c r="F331" s="78" t="str">
        <f>IF($B330="","",IF($B330+1&gt;'Oneri mensili'!$C$4,"",EOMONTH(E331,0)))</f>
      </c>
      <c r="G331" s="79" t="str">
        <f>IF($B330="","",IF($B330+1&gt;'Oneri mensili'!$C$4,"",(F331-E331)+1)/DAY(F331))</f>
      </c>
      <c r="H331" s="80"/>
      <c r="I331" s="81" t="str">
        <f>IF($B330="","",IF($B330+1&gt;'Oneri mensili'!$C$4,"",I330-J330))</f>
      </c>
      <c r="J331" s="81" t="str">
        <f>IF($B330="","",IF($B330+1&gt;'Oneri mensili'!$C$4,"",IF(B330&lt;'Oneri mensili'!$C$11-1,0,IF('Oneri mensili'!$C$10=dropdowns!$B$186,'Oneri mensili'!$J$3,IF('Oneri mensili'!$C$10=dropdowns!$B$185,IFERROR('Oneri mensili'!$J$3-K331,0),0)))))</f>
      </c>
      <c r="K331" s="81" t="str">
        <f>IF($B330="","",IF($B330+1&gt;'Oneri mensili'!$C$4,"",G331*I331*'Oneri mensili'!$C$8))</f>
      </c>
      <c r="L331" s="81" t="str">
        <f t="shared" ref="L331:L369" si="27">IF(S331="","",-K331-J331)</f>
      </c>
      <c r="M331" s="81" t="str">
        <f t="shared" si="25"/>
      </c>
      <c r="N331" s="80"/>
      <c r="O331" s="82" t="str">
        <f>IF($B331="","",'Oneri mensili'!$C$8)</f>
      </c>
      <c r="P331" s="82" t="str">
        <f>IF($B331="","",'Oneri mensili'!$C$8*(POWER(1+'Oneri mensili'!$C$8,$B331-1+1)))</f>
      </c>
      <c r="Q331" s="82" t="str">
        <f t="shared" ref="Q331:Q369" si="28">IF($B331="","",IFERROR(J331/T331-1,0))</f>
      </c>
      <c r="R331" s="80"/>
      <c r="S331" s="81" t="str">
        <f t="shared" si="26"/>
      </c>
      <c r="T331" s="81" t="str">
        <f>IF(S331="","",J331/(POWER(1+'Oneri mensili'!$C$8,$B331-1+1)))</f>
      </c>
      <c r="U331" s="83" t="str">
        <f t="shared" ref="U331:U369" si="29">IF(S331="","",T331+V331)</f>
      </c>
      <c r="V331" s="81" t="str">
        <f>IF($B331="","",K331/(POWER(1+'Oneri mensili'!$C$8,$B331-1+1)))</f>
      </c>
      <c r="W331" s="80"/>
    </row>
    <row r="332" spans="1:23" s="85" customFormat="1">
      <c r="A332" s="76"/>
      <c r="B332" s="77" t="str">
        <f>IF($B331="","",IF($B331+1&gt;'Oneri mensili'!$C$4,"",Schema!B331+1))</f>
      </c>
      <c r="C332" s="78" t="str">
        <f>IF($B331="","",IF($B331+1&gt;'Oneri mensili'!$C$4,"",EOMONTH(C331,0)+1))</f>
      </c>
      <c r="D332" s="76"/>
      <c r="E332" s="78" t="str">
        <f>IF($B331="","",IF($B331+1&gt;'Oneri mensili'!$C$4,"",F331+1))</f>
      </c>
      <c r="F332" s="78" t="str">
        <f>IF($B331="","",IF($B331+1&gt;'Oneri mensili'!$C$4,"",EOMONTH(E332,0)))</f>
      </c>
      <c r="G332" s="79" t="str">
        <f>IF($B331="","",IF($B331+1&gt;'Oneri mensili'!$C$4,"",(F332-E332)+1)/DAY(F332))</f>
      </c>
      <c r="H332" s="80"/>
      <c r="I332" s="81" t="str">
        <f>IF($B331="","",IF($B331+1&gt;'Oneri mensili'!$C$4,"",I331-J331))</f>
      </c>
      <c r="J332" s="81" t="str">
        <f>IF($B331="","",IF($B331+1&gt;'Oneri mensili'!$C$4,"",IF(B331&lt;'Oneri mensili'!$C$11-1,0,IF('Oneri mensili'!$C$10=dropdowns!$B$186,'Oneri mensili'!$J$3,IF('Oneri mensili'!$C$10=dropdowns!$B$185,IFERROR('Oneri mensili'!$J$3-K332,0),0)))))</f>
      </c>
      <c r="K332" s="81" t="str">
        <f>IF($B331="","",IF($B331+1&gt;'Oneri mensili'!$C$4,"",G332*I332*'Oneri mensili'!$C$8))</f>
      </c>
      <c r="L332" s="81" t="str">
        <f t="shared" si="27"/>
      </c>
      <c r="M332" s="81" t="str">
        <f t="shared" si="25"/>
      </c>
      <c r="N332" s="80"/>
      <c r="O332" s="82" t="str">
        <f>IF($B332="","",'Oneri mensili'!$C$8)</f>
      </c>
      <c r="P332" s="82" t="str">
        <f>IF($B332="","",'Oneri mensili'!$C$8*(POWER(1+'Oneri mensili'!$C$8,$B332-1+1)))</f>
      </c>
      <c r="Q332" s="82" t="str">
        <f t="shared" si="28"/>
      </c>
      <c r="R332" s="80"/>
      <c r="S332" s="81" t="str">
        <f t="shared" si="26"/>
      </c>
      <c r="T332" s="81" t="str">
        <f>IF(S332="","",J332/(POWER(1+'Oneri mensili'!$C$8,$B332-1+1)))</f>
      </c>
      <c r="U332" s="83" t="str">
        <f t="shared" si="29"/>
      </c>
      <c r="V332" s="81" t="str">
        <f>IF($B332="","",K332/(POWER(1+'Oneri mensili'!$C$8,$B332-1+1)))</f>
      </c>
      <c r="W332" s="80"/>
    </row>
    <row r="333" spans="1:23" s="85" customFormat="1">
      <c r="A333" s="76"/>
      <c r="B333" s="77" t="str">
        <f>IF($B332="","",IF($B332+1&gt;'Oneri mensili'!$C$4,"",Schema!B332+1))</f>
      </c>
      <c r="C333" s="78" t="str">
        <f>IF($B332="","",IF($B332+1&gt;'Oneri mensili'!$C$4,"",EOMONTH(C332,0)+1))</f>
      </c>
      <c r="D333" s="76"/>
      <c r="E333" s="78" t="str">
        <f>IF($B332="","",IF($B332+1&gt;'Oneri mensili'!$C$4,"",F332+1))</f>
      </c>
      <c r="F333" s="78" t="str">
        <f>IF($B332="","",IF($B332+1&gt;'Oneri mensili'!$C$4,"",EOMONTH(E333,0)))</f>
      </c>
      <c r="G333" s="79" t="str">
        <f>IF($B332="","",IF($B332+1&gt;'Oneri mensili'!$C$4,"",(F333-E333)+1)/DAY(F333))</f>
      </c>
      <c r="H333" s="80"/>
      <c r="I333" s="81" t="str">
        <f>IF($B332="","",IF($B332+1&gt;'Oneri mensili'!$C$4,"",I332-J332))</f>
      </c>
      <c r="J333" s="81" t="str">
        <f>IF($B332="","",IF($B332+1&gt;'Oneri mensili'!$C$4,"",IF(B332&lt;'Oneri mensili'!$C$11-1,0,IF('Oneri mensili'!$C$10=dropdowns!$B$186,'Oneri mensili'!$J$3,IF('Oneri mensili'!$C$10=dropdowns!$B$185,IFERROR('Oneri mensili'!$J$3-K333,0),0)))))</f>
      </c>
      <c r="K333" s="81" t="str">
        <f>IF($B332="","",IF($B332+1&gt;'Oneri mensili'!$C$4,"",G333*I333*'Oneri mensili'!$C$8))</f>
      </c>
      <c r="L333" s="81" t="str">
        <f t="shared" si="27"/>
      </c>
      <c r="M333" s="81" t="str">
        <f t="shared" si="25"/>
      </c>
      <c r="N333" s="80"/>
      <c r="O333" s="82" t="str">
        <f>IF($B333="","",'Oneri mensili'!$C$8)</f>
      </c>
      <c r="P333" s="82" t="str">
        <f>IF($B333="","",'Oneri mensili'!$C$8*(POWER(1+'Oneri mensili'!$C$8,$B333-1+1)))</f>
      </c>
      <c r="Q333" s="82" t="str">
        <f t="shared" si="28"/>
      </c>
      <c r="R333" s="80"/>
      <c r="S333" s="81" t="str">
        <f t="shared" si="26"/>
      </c>
      <c r="T333" s="81" t="str">
        <f>IF(S333="","",J333/(POWER(1+'Oneri mensili'!$C$8,$B333-1+1)))</f>
      </c>
      <c r="U333" s="83" t="str">
        <f t="shared" si="29"/>
      </c>
      <c r="V333" s="81" t="str">
        <f>IF($B333="","",K333/(POWER(1+'Oneri mensili'!$C$8,$B333-1+1)))</f>
      </c>
      <c r="W333" s="80"/>
    </row>
    <row r="334" spans="1:23" s="85" customFormat="1">
      <c r="A334" s="76"/>
      <c r="B334" s="77" t="str">
        <f>IF($B333="","",IF($B333+1&gt;'Oneri mensili'!$C$4,"",Schema!B333+1))</f>
      </c>
      <c r="C334" s="78" t="str">
        <f>IF($B333="","",IF($B333+1&gt;'Oneri mensili'!$C$4,"",EOMONTH(C333,0)+1))</f>
      </c>
      <c r="D334" s="76"/>
      <c r="E334" s="78" t="str">
        <f>IF($B333="","",IF($B333+1&gt;'Oneri mensili'!$C$4,"",F333+1))</f>
      </c>
      <c r="F334" s="78" t="str">
        <f>IF($B333="","",IF($B333+1&gt;'Oneri mensili'!$C$4,"",EOMONTH(E334,0)))</f>
      </c>
      <c r="G334" s="79" t="str">
        <f>IF($B333="","",IF($B333+1&gt;'Oneri mensili'!$C$4,"",(F334-E334)+1)/DAY(F334))</f>
      </c>
      <c r="H334" s="80"/>
      <c r="I334" s="81" t="str">
        <f>IF($B333="","",IF($B333+1&gt;'Oneri mensili'!$C$4,"",I333-J333))</f>
      </c>
      <c r="J334" s="81" t="str">
        <f>IF($B333="","",IF($B333+1&gt;'Oneri mensili'!$C$4,"",IF(B333&lt;'Oneri mensili'!$C$11-1,0,IF('Oneri mensili'!$C$10=dropdowns!$B$186,'Oneri mensili'!$J$3,IF('Oneri mensili'!$C$10=dropdowns!$B$185,IFERROR('Oneri mensili'!$J$3-K334,0),0)))))</f>
      </c>
      <c r="K334" s="81" t="str">
        <f>IF($B333="","",IF($B333+1&gt;'Oneri mensili'!$C$4,"",G334*I334*'Oneri mensili'!$C$8))</f>
      </c>
      <c r="L334" s="81" t="str">
        <f t="shared" si="27"/>
      </c>
      <c r="M334" s="81" t="str">
        <f t="shared" si="25"/>
      </c>
      <c r="N334" s="80"/>
      <c r="O334" s="82" t="str">
        <f>IF($B334="","",'Oneri mensili'!$C$8)</f>
      </c>
      <c r="P334" s="82" t="str">
        <f>IF($B334="","",'Oneri mensili'!$C$8*(POWER(1+'Oneri mensili'!$C$8,$B334-1+1)))</f>
      </c>
      <c r="Q334" s="82" t="str">
        <f t="shared" si="28"/>
      </c>
      <c r="R334" s="80"/>
      <c r="S334" s="81" t="str">
        <f t="shared" si="26"/>
      </c>
      <c r="T334" s="81" t="str">
        <f>IF(S334="","",J334/(POWER(1+'Oneri mensili'!$C$8,$B334-1+1)))</f>
      </c>
      <c r="U334" s="83" t="str">
        <f t="shared" si="29"/>
      </c>
      <c r="V334" s="81" t="str">
        <f>IF($B334="","",K334/(POWER(1+'Oneri mensili'!$C$8,$B334-1+1)))</f>
      </c>
      <c r="W334" s="80"/>
    </row>
    <row r="335" spans="1:23" s="85" customFormat="1">
      <c r="A335" s="76"/>
      <c r="B335" s="77" t="str">
        <f>IF($B334="","",IF($B334+1&gt;'Oneri mensili'!$C$4,"",Schema!B334+1))</f>
      </c>
      <c r="C335" s="78" t="str">
        <f>IF($B334="","",IF($B334+1&gt;'Oneri mensili'!$C$4,"",EOMONTH(C334,0)+1))</f>
      </c>
      <c r="D335" s="76"/>
      <c r="E335" s="78" t="str">
        <f>IF($B334="","",IF($B334+1&gt;'Oneri mensili'!$C$4,"",F334+1))</f>
      </c>
      <c r="F335" s="78" t="str">
        <f>IF($B334="","",IF($B334+1&gt;'Oneri mensili'!$C$4,"",EOMONTH(E335,0)))</f>
      </c>
      <c r="G335" s="79" t="str">
        <f>IF($B334="","",IF($B334+1&gt;'Oneri mensili'!$C$4,"",(F335-E335)+1)/DAY(F335))</f>
      </c>
      <c r="H335" s="80"/>
      <c r="I335" s="81" t="str">
        <f>IF($B334="","",IF($B334+1&gt;'Oneri mensili'!$C$4,"",I334-J334))</f>
      </c>
      <c r="J335" s="81" t="str">
        <f>IF($B334="","",IF($B334+1&gt;'Oneri mensili'!$C$4,"",IF(B334&lt;'Oneri mensili'!$C$11-1,0,IF('Oneri mensili'!$C$10=dropdowns!$B$186,'Oneri mensili'!$J$3,IF('Oneri mensili'!$C$10=dropdowns!$B$185,IFERROR('Oneri mensili'!$J$3-K335,0),0)))))</f>
      </c>
      <c r="K335" s="81" t="str">
        <f>IF($B334="","",IF($B334+1&gt;'Oneri mensili'!$C$4,"",G335*I335*'Oneri mensili'!$C$8))</f>
      </c>
      <c r="L335" s="81" t="str">
        <f t="shared" si="27"/>
      </c>
      <c r="M335" s="81" t="str">
        <f t="shared" si="25"/>
      </c>
      <c r="N335" s="80"/>
      <c r="O335" s="82" t="str">
        <f>IF($B335="","",'Oneri mensili'!$C$8)</f>
      </c>
      <c r="P335" s="82" t="str">
        <f>IF($B335="","",'Oneri mensili'!$C$8*(POWER(1+'Oneri mensili'!$C$8,$B335-1+1)))</f>
      </c>
      <c r="Q335" s="82" t="str">
        <f t="shared" si="28"/>
      </c>
      <c r="R335" s="80"/>
      <c r="S335" s="81" t="str">
        <f t="shared" si="26"/>
      </c>
      <c r="T335" s="81" t="str">
        <f>IF(S335="","",J335/(POWER(1+'Oneri mensili'!$C$8,$B335-1+1)))</f>
      </c>
      <c r="U335" s="83" t="str">
        <f t="shared" si="29"/>
      </c>
      <c r="V335" s="81" t="str">
        <f>IF($B335="","",K335/(POWER(1+'Oneri mensili'!$C$8,$B335-1+1)))</f>
      </c>
      <c r="W335" s="80"/>
    </row>
    <row r="336" spans="1:23" s="85" customFormat="1">
      <c r="A336" s="76"/>
      <c r="B336" s="77" t="str">
        <f>IF($B335="","",IF($B335+1&gt;'Oneri mensili'!$C$4,"",Schema!B335+1))</f>
      </c>
      <c r="C336" s="78" t="str">
        <f>IF($B335="","",IF($B335+1&gt;'Oneri mensili'!$C$4,"",EOMONTH(C335,0)+1))</f>
      </c>
      <c r="D336" s="76"/>
      <c r="E336" s="78" t="str">
        <f>IF($B335="","",IF($B335+1&gt;'Oneri mensili'!$C$4,"",F335+1))</f>
      </c>
      <c r="F336" s="78" t="str">
        <f>IF($B335="","",IF($B335+1&gt;'Oneri mensili'!$C$4,"",EOMONTH(E336,0)))</f>
      </c>
      <c r="G336" s="79" t="str">
        <f>IF($B335="","",IF($B335+1&gt;'Oneri mensili'!$C$4,"",(F336-E336)+1)/DAY(F336))</f>
      </c>
      <c r="H336" s="80"/>
      <c r="I336" s="81" t="str">
        <f>IF($B335="","",IF($B335+1&gt;'Oneri mensili'!$C$4,"",I335-J335))</f>
      </c>
      <c r="J336" s="81" t="str">
        <f>IF($B335="","",IF($B335+1&gt;'Oneri mensili'!$C$4,"",IF(B335&lt;'Oneri mensili'!$C$11-1,0,IF('Oneri mensili'!$C$10=dropdowns!$B$186,'Oneri mensili'!$J$3,IF('Oneri mensili'!$C$10=dropdowns!$B$185,IFERROR('Oneri mensili'!$J$3-K336,0),0)))))</f>
      </c>
      <c r="K336" s="81" t="str">
        <f>IF($B335="","",IF($B335+1&gt;'Oneri mensili'!$C$4,"",G336*I336*'Oneri mensili'!$C$8))</f>
      </c>
      <c r="L336" s="81" t="str">
        <f t="shared" si="27"/>
      </c>
      <c r="M336" s="81" t="str">
        <f t="shared" si="25"/>
      </c>
      <c r="N336" s="80"/>
      <c r="O336" s="82" t="str">
        <f>IF($B336="","",'Oneri mensili'!$C$8)</f>
      </c>
      <c r="P336" s="82" t="str">
        <f>IF($B336="","",'Oneri mensili'!$C$8*(POWER(1+'Oneri mensili'!$C$8,$B336-1+1)))</f>
      </c>
      <c r="Q336" s="82" t="str">
        <f t="shared" si="28"/>
      </c>
      <c r="R336" s="80"/>
      <c r="S336" s="81" t="str">
        <f t="shared" si="26"/>
      </c>
      <c r="T336" s="81" t="str">
        <f>IF(S336="","",J336/(POWER(1+'Oneri mensili'!$C$8,$B336-1+1)))</f>
      </c>
      <c r="U336" s="83" t="str">
        <f t="shared" si="29"/>
      </c>
      <c r="V336" s="81" t="str">
        <f>IF($B336="","",K336/(POWER(1+'Oneri mensili'!$C$8,$B336-1+1)))</f>
      </c>
      <c r="W336" s="80"/>
    </row>
    <row r="337" spans="1:23" s="85" customFormat="1">
      <c r="A337" s="76"/>
      <c r="B337" s="77" t="str">
        <f>IF($B336="","",IF($B336+1&gt;'Oneri mensili'!$C$4,"",Schema!B336+1))</f>
      </c>
      <c r="C337" s="78" t="str">
        <f>IF($B336="","",IF($B336+1&gt;'Oneri mensili'!$C$4,"",EOMONTH(C336,0)+1))</f>
      </c>
      <c r="D337" s="76"/>
      <c r="E337" s="78" t="str">
        <f>IF($B336="","",IF($B336+1&gt;'Oneri mensili'!$C$4,"",F336+1))</f>
      </c>
      <c r="F337" s="78" t="str">
        <f>IF($B336="","",IF($B336+1&gt;'Oneri mensili'!$C$4,"",EOMONTH(E337,0)))</f>
      </c>
      <c r="G337" s="79" t="str">
        <f>IF($B336="","",IF($B336+1&gt;'Oneri mensili'!$C$4,"",(F337-E337)+1)/DAY(F337))</f>
      </c>
      <c r="H337" s="80"/>
      <c r="I337" s="81" t="str">
        <f>IF($B336="","",IF($B336+1&gt;'Oneri mensili'!$C$4,"",I336-J336))</f>
      </c>
      <c r="J337" s="81" t="str">
        <f>IF($B336="","",IF($B336+1&gt;'Oneri mensili'!$C$4,"",IF(B336&lt;'Oneri mensili'!$C$11-1,0,IF('Oneri mensili'!$C$10=dropdowns!$B$186,'Oneri mensili'!$J$3,IF('Oneri mensili'!$C$10=dropdowns!$B$185,IFERROR('Oneri mensili'!$J$3-K337,0),0)))))</f>
      </c>
      <c r="K337" s="81" t="str">
        <f>IF($B336="","",IF($B336+1&gt;'Oneri mensili'!$C$4,"",G337*I337*'Oneri mensili'!$C$8))</f>
      </c>
      <c r="L337" s="81" t="str">
        <f t="shared" si="27"/>
      </c>
      <c r="M337" s="81" t="str">
        <f t="shared" si="25"/>
      </c>
      <c r="N337" s="80"/>
      <c r="O337" s="82" t="str">
        <f>IF($B337="","",'Oneri mensili'!$C$8)</f>
      </c>
      <c r="P337" s="82" t="str">
        <f>IF($B337="","",'Oneri mensili'!$C$8*(POWER(1+'Oneri mensili'!$C$8,$B337-1+1)))</f>
      </c>
      <c r="Q337" s="82" t="str">
        <f t="shared" si="28"/>
      </c>
      <c r="R337" s="80"/>
      <c r="S337" s="81" t="str">
        <f t="shared" si="26"/>
      </c>
      <c r="T337" s="81" t="str">
        <f>IF(S337="","",J337/(POWER(1+'Oneri mensili'!$C$8,$B337-1+1)))</f>
      </c>
      <c r="U337" s="83" t="str">
        <f t="shared" si="29"/>
      </c>
      <c r="V337" s="81" t="str">
        <f>IF($B337="","",K337/(POWER(1+'Oneri mensili'!$C$8,$B337-1+1)))</f>
      </c>
      <c r="W337" s="80"/>
    </row>
    <row r="338" spans="1:23" s="85" customFormat="1">
      <c r="A338" s="76"/>
      <c r="B338" s="77" t="str">
        <f>IF($B337="","",IF($B337+1&gt;'Oneri mensili'!$C$4,"",Schema!B337+1))</f>
      </c>
      <c r="C338" s="78" t="str">
        <f>IF($B337="","",IF($B337+1&gt;'Oneri mensili'!$C$4,"",EOMONTH(C337,0)+1))</f>
      </c>
      <c r="D338" s="76"/>
      <c r="E338" s="78" t="str">
        <f>IF($B337="","",IF($B337+1&gt;'Oneri mensili'!$C$4,"",F337+1))</f>
      </c>
      <c r="F338" s="78" t="str">
        <f>IF($B337="","",IF($B337+1&gt;'Oneri mensili'!$C$4,"",EOMONTH(E338,0)))</f>
      </c>
      <c r="G338" s="79" t="str">
        <f>IF($B337="","",IF($B337+1&gt;'Oneri mensili'!$C$4,"",(F338-E338)+1)/DAY(F338))</f>
      </c>
      <c r="H338" s="80"/>
      <c r="I338" s="81" t="str">
        <f>IF($B337="","",IF($B337+1&gt;'Oneri mensili'!$C$4,"",I337-J337))</f>
      </c>
      <c r="J338" s="81" t="str">
        <f>IF($B337="","",IF($B337+1&gt;'Oneri mensili'!$C$4,"",IF(B337&lt;'Oneri mensili'!$C$11-1,0,IF('Oneri mensili'!$C$10=dropdowns!$B$186,'Oneri mensili'!$J$3,IF('Oneri mensili'!$C$10=dropdowns!$B$185,IFERROR('Oneri mensili'!$J$3-K338,0),0)))))</f>
      </c>
      <c r="K338" s="81" t="str">
        <f>IF($B337="","",IF($B337+1&gt;'Oneri mensili'!$C$4,"",G338*I338*'Oneri mensili'!$C$8))</f>
      </c>
      <c r="L338" s="81" t="str">
        <f t="shared" si="27"/>
      </c>
      <c r="M338" s="81" t="str">
        <f t="shared" si="25"/>
      </c>
      <c r="N338" s="80"/>
      <c r="O338" s="82" t="str">
        <f>IF($B338="","",'Oneri mensili'!$C$8)</f>
      </c>
      <c r="P338" s="82" t="str">
        <f>IF($B338="","",'Oneri mensili'!$C$8*(POWER(1+'Oneri mensili'!$C$8,$B338-1+1)))</f>
      </c>
      <c r="Q338" s="82" t="str">
        <f t="shared" si="28"/>
      </c>
      <c r="R338" s="80"/>
      <c r="S338" s="81" t="str">
        <f t="shared" si="26"/>
      </c>
      <c r="T338" s="81" t="str">
        <f>IF(S338="","",J338/(POWER(1+'Oneri mensili'!$C$8,$B338-1+1)))</f>
      </c>
      <c r="U338" s="83" t="str">
        <f t="shared" si="29"/>
      </c>
      <c r="V338" s="81" t="str">
        <f>IF($B338="","",K338/(POWER(1+'Oneri mensili'!$C$8,$B338-1+1)))</f>
      </c>
      <c r="W338" s="80"/>
    </row>
    <row r="339" spans="1:23" s="85" customFormat="1">
      <c r="A339" s="76"/>
      <c r="B339" s="77" t="str">
        <f>IF($B338="","",IF($B338+1&gt;'Oneri mensili'!$C$4,"",Schema!B338+1))</f>
      </c>
      <c r="C339" s="78" t="str">
        <f>IF($B338="","",IF($B338+1&gt;'Oneri mensili'!$C$4,"",EOMONTH(C338,0)+1))</f>
      </c>
      <c r="D339" s="76"/>
      <c r="E339" s="78" t="str">
        <f>IF($B338="","",IF($B338+1&gt;'Oneri mensili'!$C$4,"",F338+1))</f>
      </c>
      <c r="F339" s="78" t="str">
        <f>IF($B338="","",IF($B338+1&gt;'Oneri mensili'!$C$4,"",EOMONTH(E339,0)))</f>
      </c>
      <c r="G339" s="79" t="str">
        <f>IF($B338="","",IF($B338+1&gt;'Oneri mensili'!$C$4,"",(F339-E339)+1)/DAY(F339))</f>
      </c>
      <c r="H339" s="80"/>
      <c r="I339" s="81" t="str">
        <f>IF($B338="","",IF($B338+1&gt;'Oneri mensili'!$C$4,"",I338-J338))</f>
      </c>
      <c r="J339" s="81" t="str">
        <f>IF($B338="","",IF($B338+1&gt;'Oneri mensili'!$C$4,"",IF(B338&lt;'Oneri mensili'!$C$11-1,0,IF('Oneri mensili'!$C$10=dropdowns!$B$186,'Oneri mensili'!$J$3,IF('Oneri mensili'!$C$10=dropdowns!$B$185,IFERROR('Oneri mensili'!$J$3-K339,0),0)))))</f>
      </c>
      <c r="K339" s="81" t="str">
        <f>IF($B338="","",IF($B338+1&gt;'Oneri mensili'!$C$4,"",G339*I339*'Oneri mensili'!$C$8))</f>
      </c>
      <c r="L339" s="81" t="str">
        <f t="shared" si="27"/>
      </c>
      <c r="M339" s="81" t="str">
        <f t="shared" si="25"/>
      </c>
      <c r="N339" s="80"/>
      <c r="O339" s="82" t="str">
        <f>IF($B339="","",'Oneri mensili'!$C$8)</f>
      </c>
      <c r="P339" s="82" t="str">
        <f>IF($B339="","",'Oneri mensili'!$C$8*(POWER(1+'Oneri mensili'!$C$8,$B339-1+1)))</f>
      </c>
      <c r="Q339" s="82" t="str">
        <f t="shared" si="28"/>
      </c>
      <c r="R339" s="80"/>
      <c r="S339" s="81" t="str">
        <f t="shared" si="26"/>
      </c>
      <c r="T339" s="81" t="str">
        <f>IF(S339="","",J339/(POWER(1+'Oneri mensili'!$C$8,$B339-1+1)))</f>
      </c>
      <c r="U339" s="83" t="str">
        <f t="shared" si="29"/>
      </c>
      <c r="V339" s="81" t="str">
        <f>IF($B339="","",K339/(POWER(1+'Oneri mensili'!$C$8,$B339-1+1)))</f>
      </c>
      <c r="W339" s="80"/>
    </row>
    <row r="340" spans="1:23" s="85" customFormat="1">
      <c r="A340" s="76"/>
      <c r="B340" s="77" t="str">
        <f>IF($B339="","",IF($B339+1&gt;'Oneri mensili'!$C$4,"",Schema!B339+1))</f>
      </c>
      <c r="C340" s="78" t="str">
        <f>IF($B339="","",IF($B339+1&gt;'Oneri mensili'!$C$4,"",EOMONTH(C339,0)+1))</f>
      </c>
      <c r="D340" s="76"/>
      <c r="E340" s="78" t="str">
        <f>IF($B339="","",IF($B339+1&gt;'Oneri mensili'!$C$4,"",F339+1))</f>
      </c>
      <c r="F340" s="78" t="str">
        <f>IF($B339="","",IF($B339+1&gt;'Oneri mensili'!$C$4,"",EOMONTH(E340,0)))</f>
      </c>
      <c r="G340" s="79" t="str">
        <f>IF($B339="","",IF($B339+1&gt;'Oneri mensili'!$C$4,"",(F340-E340)+1)/DAY(F340))</f>
      </c>
      <c r="H340" s="80"/>
      <c r="I340" s="81" t="str">
        <f>IF($B339="","",IF($B339+1&gt;'Oneri mensili'!$C$4,"",I339-J339))</f>
      </c>
      <c r="J340" s="81" t="str">
        <f>IF($B339="","",IF($B339+1&gt;'Oneri mensili'!$C$4,"",IF(B339&lt;'Oneri mensili'!$C$11-1,0,IF('Oneri mensili'!$C$10=dropdowns!$B$186,'Oneri mensili'!$J$3,IF('Oneri mensili'!$C$10=dropdowns!$B$185,IFERROR('Oneri mensili'!$J$3-K340,0),0)))))</f>
      </c>
      <c r="K340" s="81" t="str">
        <f>IF($B339="","",IF($B339+1&gt;'Oneri mensili'!$C$4,"",G340*I340*'Oneri mensili'!$C$8))</f>
      </c>
      <c r="L340" s="81" t="str">
        <f t="shared" si="27"/>
      </c>
      <c r="M340" s="81" t="str">
        <f t="shared" si="25"/>
      </c>
      <c r="N340" s="80"/>
      <c r="O340" s="82" t="str">
        <f>IF($B340="","",'Oneri mensili'!$C$8)</f>
      </c>
      <c r="P340" s="82" t="str">
        <f>IF($B340="","",'Oneri mensili'!$C$8*(POWER(1+'Oneri mensili'!$C$8,$B340-1+1)))</f>
      </c>
      <c r="Q340" s="82" t="str">
        <f t="shared" si="28"/>
      </c>
      <c r="R340" s="80"/>
      <c r="S340" s="81" t="str">
        <f t="shared" si="26"/>
      </c>
      <c r="T340" s="81" t="str">
        <f>IF(S340="","",J340/(POWER(1+'Oneri mensili'!$C$8,$B340-1+1)))</f>
      </c>
      <c r="U340" s="83" t="str">
        <f t="shared" si="29"/>
      </c>
      <c r="V340" s="81" t="str">
        <f>IF($B340="","",K340/(POWER(1+'Oneri mensili'!$C$8,$B340-1+1)))</f>
      </c>
      <c r="W340" s="80"/>
    </row>
    <row r="341" spans="1:23" s="85" customFormat="1">
      <c r="A341" s="76"/>
      <c r="B341" s="77" t="str">
        <f>IF($B340="","",IF($B340+1&gt;'Oneri mensili'!$C$4,"",Schema!B340+1))</f>
      </c>
      <c r="C341" s="78" t="str">
        <f>IF($B340="","",IF($B340+1&gt;'Oneri mensili'!$C$4,"",EOMONTH(C340,0)+1))</f>
      </c>
      <c r="D341" s="76"/>
      <c r="E341" s="78" t="str">
        <f>IF($B340="","",IF($B340+1&gt;'Oneri mensili'!$C$4,"",F340+1))</f>
      </c>
      <c r="F341" s="78" t="str">
        <f>IF($B340="","",IF($B340+1&gt;'Oneri mensili'!$C$4,"",EOMONTH(E341,0)))</f>
      </c>
      <c r="G341" s="79" t="str">
        <f>IF($B340="","",IF($B340+1&gt;'Oneri mensili'!$C$4,"",(F341-E341)+1)/DAY(F341))</f>
      </c>
      <c r="H341" s="80"/>
      <c r="I341" s="81" t="str">
        <f>IF($B340="","",IF($B340+1&gt;'Oneri mensili'!$C$4,"",I340-J340))</f>
      </c>
      <c r="J341" s="81" t="str">
        <f>IF($B340="","",IF($B340+1&gt;'Oneri mensili'!$C$4,"",IF(B340&lt;'Oneri mensili'!$C$11-1,0,IF('Oneri mensili'!$C$10=dropdowns!$B$186,'Oneri mensili'!$J$3,IF('Oneri mensili'!$C$10=dropdowns!$B$185,IFERROR('Oneri mensili'!$J$3-K341,0),0)))))</f>
      </c>
      <c r="K341" s="81" t="str">
        <f>IF($B340="","",IF($B340+1&gt;'Oneri mensili'!$C$4,"",G341*I341*'Oneri mensili'!$C$8))</f>
      </c>
      <c r="L341" s="81" t="str">
        <f t="shared" si="27"/>
      </c>
      <c r="M341" s="81" t="str">
        <f t="shared" si="25"/>
      </c>
      <c r="N341" s="80"/>
      <c r="O341" s="82" t="str">
        <f>IF($B341="","",'Oneri mensili'!$C$8)</f>
      </c>
      <c r="P341" s="82" t="str">
        <f>IF($B341="","",'Oneri mensili'!$C$8*(POWER(1+'Oneri mensili'!$C$8,$B341-1+1)))</f>
      </c>
      <c r="Q341" s="82" t="str">
        <f t="shared" si="28"/>
      </c>
      <c r="R341" s="80"/>
      <c r="S341" s="81" t="str">
        <f t="shared" si="26"/>
      </c>
      <c r="T341" s="81" t="str">
        <f>IF(S341="","",J341/(POWER(1+'Oneri mensili'!$C$8,$B341-1+1)))</f>
      </c>
      <c r="U341" s="83" t="str">
        <f t="shared" si="29"/>
      </c>
      <c r="V341" s="81" t="str">
        <f>IF($B341="","",K341/(POWER(1+'Oneri mensili'!$C$8,$B341-1+1)))</f>
      </c>
      <c r="W341" s="80"/>
    </row>
    <row r="342" spans="1:23" s="85" customFormat="1">
      <c r="A342" s="76"/>
      <c r="B342" s="77" t="str">
        <f>IF($B341="","",IF($B341+1&gt;'Oneri mensili'!$C$4,"",Schema!B341+1))</f>
      </c>
      <c r="C342" s="78" t="str">
        <f>IF($B341="","",IF($B341+1&gt;'Oneri mensili'!$C$4,"",EOMONTH(C341,0)+1))</f>
      </c>
      <c r="D342" s="76"/>
      <c r="E342" s="78" t="str">
        <f>IF($B341="","",IF($B341+1&gt;'Oneri mensili'!$C$4,"",F341+1))</f>
      </c>
      <c r="F342" s="78" t="str">
        <f>IF($B341="","",IF($B341+1&gt;'Oneri mensili'!$C$4,"",EOMONTH(E342,0)))</f>
      </c>
      <c r="G342" s="79" t="str">
        <f>IF($B341="","",IF($B341+1&gt;'Oneri mensili'!$C$4,"",(F342-E342)+1)/DAY(F342))</f>
      </c>
      <c r="H342" s="80"/>
      <c r="I342" s="81" t="str">
        <f>IF($B341="","",IF($B341+1&gt;'Oneri mensili'!$C$4,"",I341-J341))</f>
      </c>
      <c r="J342" s="81" t="str">
        <f>IF($B341="","",IF($B341+1&gt;'Oneri mensili'!$C$4,"",IF(B341&lt;'Oneri mensili'!$C$11-1,0,IF('Oneri mensili'!$C$10=dropdowns!$B$186,'Oneri mensili'!$J$3,IF('Oneri mensili'!$C$10=dropdowns!$B$185,IFERROR('Oneri mensili'!$J$3-K342,0),0)))))</f>
      </c>
      <c r="K342" s="81" t="str">
        <f>IF($B341="","",IF($B341+1&gt;'Oneri mensili'!$C$4,"",G342*I342*'Oneri mensili'!$C$8))</f>
      </c>
      <c r="L342" s="81" t="str">
        <f t="shared" si="27"/>
      </c>
      <c r="M342" s="81" t="str">
        <f t="shared" si="25"/>
      </c>
      <c r="N342" s="80"/>
      <c r="O342" s="82" t="str">
        <f>IF($B342="","",'Oneri mensili'!$C$8)</f>
      </c>
      <c r="P342" s="82" t="str">
        <f>IF($B342="","",'Oneri mensili'!$C$8*(POWER(1+'Oneri mensili'!$C$8,$B342-1+1)))</f>
      </c>
      <c r="Q342" s="82" t="str">
        <f t="shared" si="28"/>
      </c>
      <c r="R342" s="80"/>
      <c r="S342" s="81" t="str">
        <f t="shared" si="26"/>
      </c>
      <c r="T342" s="81" t="str">
        <f>IF(S342="","",J342/(POWER(1+'Oneri mensili'!$C$8,$B342-1+1)))</f>
      </c>
      <c r="U342" s="83" t="str">
        <f t="shared" si="29"/>
      </c>
      <c r="V342" s="81" t="str">
        <f>IF($B342="","",K342/(POWER(1+'Oneri mensili'!$C$8,$B342-1+1)))</f>
      </c>
      <c r="W342" s="80"/>
    </row>
    <row r="343" spans="1:23" s="85" customFormat="1">
      <c r="A343" s="76"/>
      <c r="B343" s="77" t="str">
        <f>IF($B342="","",IF($B342+1&gt;'Oneri mensili'!$C$4,"",Schema!B342+1))</f>
      </c>
      <c r="C343" s="78" t="str">
        <f>IF($B342="","",IF($B342+1&gt;'Oneri mensili'!$C$4,"",EOMONTH(C342,0)+1))</f>
      </c>
      <c r="D343" s="76"/>
      <c r="E343" s="78" t="str">
        <f>IF($B342="","",IF($B342+1&gt;'Oneri mensili'!$C$4,"",F342+1))</f>
      </c>
      <c r="F343" s="78" t="str">
        <f>IF($B342="","",IF($B342+1&gt;'Oneri mensili'!$C$4,"",EOMONTH(E343,0)))</f>
      </c>
      <c r="G343" s="79" t="str">
        <f>IF($B342="","",IF($B342+1&gt;'Oneri mensili'!$C$4,"",(F343-E343)+1)/DAY(F343))</f>
      </c>
      <c r="H343" s="80"/>
      <c r="I343" s="81" t="str">
        <f>IF($B342="","",IF($B342+1&gt;'Oneri mensili'!$C$4,"",I342-J342))</f>
      </c>
      <c r="J343" s="81" t="str">
        <f>IF($B342="","",IF($B342+1&gt;'Oneri mensili'!$C$4,"",IF(B342&lt;'Oneri mensili'!$C$11-1,0,IF('Oneri mensili'!$C$10=dropdowns!$B$186,'Oneri mensili'!$J$3,IF('Oneri mensili'!$C$10=dropdowns!$B$185,IFERROR('Oneri mensili'!$J$3-K343,0),0)))))</f>
      </c>
      <c r="K343" s="81" t="str">
        <f>IF($B342="","",IF($B342+1&gt;'Oneri mensili'!$C$4,"",G343*I343*'Oneri mensili'!$C$8))</f>
      </c>
      <c r="L343" s="81" t="str">
        <f t="shared" si="27"/>
      </c>
      <c r="M343" s="81" t="str">
        <f t="shared" si="25"/>
      </c>
      <c r="N343" s="80"/>
      <c r="O343" s="82" t="str">
        <f>IF($B343="","",'Oneri mensili'!$C$8)</f>
      </c>
      <c r="P343" s="82" t="str">
        <f>IF($B343="","",'Oneri mensili'!$C$8*(POWER(1+'Oneri mensili'!$C$8,$B343-1+1)))</f>
      </c>
      <c r="Q343" s="82" t="str">
        <f t="shared" si="28"/>
      </c>
      <c r="R343" s="80"/>
      <c r="S343" s="81" t="str">
        <f t="shared" si="26"/>
      </c>
      <c r="T343" s="81" t="str">
        <f>IF(S343="","",J343/(POWER(1+'Oneri mensili'!$C$8,$B343-1+1)))</f>
      </c>
      <c r="U343" s="83" t="str">
        <f t="shared" si="29"/>
      </c>
      <c r="V343" s="81" t="str">
        <f>IF($B343="","",K343/(POWER(1+'Oneri mensili'!$C$8,$B343-1+1)))</f>
      </c>
      <c r="W343" s="80"/>
    </row>
    <row r="344" spans="1:23" s="85" customFormat="1">
      <c r="A344" s="76"/>
      <c r="B344" s="77" t="str">
        <f>IF($B343="","",IF($B343+1&gt;'Oneri mensili'!$C$4,"",Schema!B343+1))</f>
      </c>
      <c r="C344" s="78" t="str">
        <f>IF($B343="","",IF($B343+1&gt;'Oneri mensili'!$C$4,"",EOMONTH(C343,0)+1))</f>
      </c>
      <c r="D344" s="76"/>
      <c r="E344" s="78" t="str">
        <f>IF($B343="","",IF($B343+1&gt;'Oneri mensili'!$C$4,"",F343+1))</f>
      </c>
      <c r="F344" s="78" t="str">
        <f>IF($B343="","",IF($B343+1&gt;'Oneri mensili'!$C$4,"",EOMONTH(E344,0)))</f>
      </c>
      <c r="G344" s="79" t="str">
        <f>IF($B343="","",IF($B343+1&gt;'Oneri mensili'!$C$4,"",(F344-E344)+1)/DAY(F344))</f>
      </c>
      <c r="H344" s="80"/>
      <c r="I344" s="81" t="str">
        <f>IF($B343="","",IF($B343+1&gt;'Oneri mensili'!$C$4,"",I343-J343))</f>
      </c>
      <c r="J344" s="81" t="str">
        <f>IF($B343="","",IF($B343+1&gt;'Oneri mensili'!$C$4,"",IF(B343&lt;'Oneri mensili'!$C$11-1,0,IF('Oneri mensili'!$C$10=dropdowns!$B$186,'Oneri mensili'!$J$3,IF('Oneri mensili'!$C$10=dropdowns!$B$185,IFERROR('Oneri mensili'!$J$3-K344,0),0)))))</f>
      </c>
      <c r="K344" s="81" t="str">
        <f>IF($B343="","",IF($B343+1&gt;'Oneri mensili'!$C$4,"",G344*I344*'Oneri mensili'!$C$8))</f>
      </c>
      <c r="L344" s="81" t="str">
        <f t="shared" si="27"/>
      </c>
      <c r="M344" s="81" t="str">
        <f t="shared" si="25"/>
      </c>
      <c r="N344" s="80"/>
      <c r="O344" s="82" t="str">
        <f>IF($B344="","",'Oneri mensili'!$C$8)</f>
      </c>
      <c r="P344" s="82" t="str">
        <f>IF($B344="","",'Oneri mensili'!$C$8*(POWER(1+'Oneri mensili'!$C$8,$B344-1+1)))</f>
      </c>
      <c r="Q344" s="82" t="str">
        <f t="shared" si="28"/>
      </c>
      <c r="R344" s="80"/>
      <c r="S344" s="81" t="str">
        <f t="shared" si="26"/>
      </c>
      <c r="T344" s="81" t="str">
        <f>IF(S344="","",J344/(POWER(1+'Oneri mensili'!$C$8,$B344-1+1)))</f>
      </c>
      <c r="U344" s="83" t="str">
        <f t="shared" si="29"/>
      </c>
      <c r="V344" s="81" t="str">
        <f>IF($B344="","",K344/(POWER(1+'Oneri mensili'!$C$8,$B344-1+1)))</f>
      </c>
      <c r="W344" s="80"/>
    </row>
    <row r="345" spans="1:23" s="85" customFormat="1">
      <c r="A345" s="76"/>
      <c r="B345" s="77" t="str">
        <f>IF($B344="","",IF($B344+1&gt;'Oneri mensili'!$C$4,"",Schema!B344+1))</f>
      </c>
      <c r="C345" s="78" t="str">
        <f>IF($B344="","",IF($B344+1&gt;'Oneri mensili'!$C$4,"",EOMONTH(C344,0)+1))</f>
      </c>
      <c r="D345" s="76"/>
      <c r="E345" s="78" t="str">
        <f>IF($B344="","",IF($B344+1&gt;'Oneri mensili'!$C$4,"",F344+1))</f>
      </c>
      <c r="F345" s="78" t="str">
        <f>IF($B344="","",IF($B344+1&gt;'Oneri mensili'!$C$4,"",EOMONTH(E345,0)))</f>
      </c>
      <c r="G345" s="79" t="str">
        <f>IF($B344="","",IF($B344+1&gt;'Oneri mensili'!$C$4,"",(F345-E345)+1)/DAY(F345))</f>
      </c>
      <c r="H345" s="80"/>
      <c r="I345" s="81" t="str">
        <f>IF($B344="","",IF($B344+1&gt;'Oneri mensili'!$C$4,"",I344-J344))</f>
      </c>
      <c r="J345" s="81" t="str">
        <f>IF($B344="","",IF($B344+1&gt;'Oneri mensili'!$C$4,"",IF(B344&lt;'Oneri mensili'!$C$11-1,0,IF('Oneri mensili'!$C$10=dropdowns!$B$186,'Oneri mensili'!$J$3,IF('Oneri mensili'!$C$10=dropdowns!$B$185,IFERROR('Oneri mensili'!$J$3-K345,0),0)))))</f>
      </c>
      <c r="K345" s="81" t="str">
        <f>IF($B344="","",IF($B344+1&gt;'Oneri mensili'!$C$4,"",G345*I345*'Oneri mensili'!$C$8))</f>
      </c>
      <c r="L345" s="81" t="str">
        <f t="shared" si="27"/>
      </c>
      <c r="M345" s="81" t="str">
        <f t="shared" si="25"/>
      </c>
      <c r="N345" s="80"/>
      <c r="O345" s="82" t="str">
        <f>IF($B345="","",'Oneri mensili'!$C$8)</f>
      </c>
      <c r="P345" s="82" t="str">
        <f>IF($B345="","",'Oneri mensili'!$C$8*(POWER(1+'Oneri mensili'!$C$8,$B345-1+1)))</f>
      </c>
      <c r="Q345" s="82" t="str">
        <f t="shared" si="28"/>
      </c>
      <c r="R345" s="80"/>
      <c r="S345" s="81" t="str">
        <f t="shared" si="26"/>
      </c>
      <c r="T345" s="81" t="str">
        <f>IF(S345="","",J345/(POWER(1+'Oneri mensili'!$C$8,$B345-1+1)))</f>
      </c>
      <c r="U345" s="83" t="str">
        <f t="shared" si="29"/>
      </c>
      <c r="V345" s="81" t="str">
        <f>IF($B345="","",K345/(POWER(1+'Oneri mensili'!$C$8,$B345-1+1)))</f>
      </c>
      <c r="W345" s="80"/>
    </row>
    <row r="346" spans="1:23" s="85" customFormat="1">
      <c r="A346" s="76"/>
      <c r="B346" s="77" t="str">
        <f>IF($B345="","",IF($B345+1&gt;'Oneri mensili'!$C$4,"",Schema!B345+1))</f>
      </c>
      <c r="C346" s="78" t="str">
        <f>IF($B345="","",IF($B345+1&gt;'Oneri mensili'!$C$4,"",EOMONTH(C345,0)+1))</f>
      </c>
      <c r="D346" s="76"/>
      <c r="E346" s="78" t="str">
        <f>IF($B345="","",IF($B345+1&gt;'Oneri mensili'!$C$4,"",F345+1))</f>
      </c>
      <c r="F346" s="78" t="str">
        <f>IF($B345="","",IF($B345+1&gt;'Oneri mensili'!$C$4,"",EOMONTH(E346,0)))</f>
      </c>
      <c r="G346" s="79" t="str">
        <f>IF($B345="","",IF($B345+1&gt;'Oneri mensili'!$C$4,"",(F346-E346)+1)/DAY(F346))</f>
      </c>
      <c r="H346" s="80"/>
      <c r="I346" s="81" t="str">
        <f>IF($B345="","",IF($B345+1&gt;'Oneri mensili'!$C$4,"",I345-J345))</f>
      </c>
      <c r="J346" s="81" t="str">
        <f>IF($B345="","",IF($B345+1&gt;'Oneri mensili'!$C$4,"",IF(B345&lt;'Oneri mensili'!$C$11-1,0,IF('Oneri mensili'!$C$10=dropdowns!$B$186,'Oneri mensili'!$J$3,IF('Oneri mensili'!$C$10=dropdowns!$B$185,IFERROR('Oneri mensili'!$J$3-K346,0),0)))))</f>
      </c>
      <c r="K346" s="81" t="str">
        <f>IF($B345="","",IF($B345+1&gt;'Oneri mensili'!$C$4,"",G346*I346*'Oneri mensili'!$C$8))</f>
      </c>
      <c r="L346" s="81" t="str">
        <f t="shared" si="27"/>
      </c>
      <c r="M346" s="81" t="str">
        <f t="shared" si="25"/>
      </c>
      <c r="N346" s="80"/>
      <c r="O346" s="82" t="str">
        <f>IF($B346="","",'Oneri mensili'!$C$8)</f>
      </c>
      <c r="P346" s="82" t="str">
        <f>IF($B346="","",'Oneri mensili'!$C$8*(POWER(1+'Oneri mensili'!$C$8,$B346-1+1)))</f>
      </c>
      <c r="Q346" s="82" t="str">
        <f t="shared" si="28"/>
      </c>
      <c r="R346" s="80"/>
      <c r="S346" s="81" t="str">
        <f t="shared" si="26"/>
      </c>
      <c r="T346" s="81" t="str">
        <f>IF(S346="","",J346/(POWER(1+'Oneri mensili'!$C$8,$B346-1+1)))</f>
      </c>
      <c r="U346" s="83" t="str">
        <f t="shared" si="29"/>
      </c>
      <c r="V346" s="81" t="str">
        <f>IF($B346="","",K346/(POWER(1+'Oneri mensili'!$C$8,$B346-1+1)))</f>
      </c>
      <c r="W346" s="80"/>
    </row>
    <row r="347" spans="1:23" s="85" customFormat="1">
      <c r="A347" s="76"/>
      <c r="B347" s="77" t="str">
        <f>IF($B346="","",IF($B346+1&gt;'Oneri mensili'!$C$4,"",Schema!B346+1))</f>
      </c>
      <c r="C347" s="78" t="str">
        <f>IF($B346="","",IF($B346+1&gt;'Oneri mensili'!$C$4,"",EOMONTH(C346,0)+1))</f>
      </c>
      <c r="D347" s="76"/>
      <c r="E347" s="78" t="str">
        <f>IF($B346="","",IF($B346+1&gt;'Oneri mensili'!$C$4,"",F346+1))</f>
      </c>
      <c r="F347" s="78" t="str">
        <f>IF($B346="","",IF($B346+1&gt;'Oneri mensili'!$C$4,"",EOMONTH(E347,0)))</f>
      </c>
      <c r="G347" s="79" t="str">
        <f>IF($B346="","",IF($B346+1&gt;'Oneri mensili'!$C$4,"",(F347-E347)+1)/DAY(F347))</f>
      </c>
      <c r="H347" s="80"/>
      <c r="I347" s="81" t="str">
        <f>IF($B346="","",IF($B346+1&gt;'Oneri mensili'!$C$4,"",I346-J346))</f>
      </c>
      <c r="J347" s="81" t="str">
        <f>IF($B346="","",IF($B346+1&gt;'Oneri mensili'!$C$4,"",IF(B346&lt;'Oneri mensili'!$C$11-1,0,IF('Oneri mensili'!$C$10=dropdowns!$B$186,'Oneri mensili'!$J$3,IF('Oneri mensili'!$C$10=dropdowns!$B$185,IFERROR('Oneri mensili'!$J$3-K347,0),0)))))</f>
      </c>
      <c r="K347" s="81" t="str">
        <f>IF($B346="","",IF($B346+1&gt;'Oneri mensili'!$C$4,"",G347*I347*'Oneri mensili'!$C$8))</f>
      </c>
      <c r="L347" s="81" t="str">
        <f t="shared" si="27"/>
      </c>
      <c r="M347" s="81" t="str">
        <f t="shared" si="25"/>
      </c>
      <c r="N347" s="80"/>
      <c r="O347" s="82" t="str">
        <f>IF($B347="","",'Oneri mensili'!$C$8)</f>
      </c>
      <c r="P347" s="82" t="str">
        <f>IF($B347="","",'Oneri mensili'!$C$8*(POWER(1+'Oneri mensili'!$C$8,$B347-1+1)))</f>
      </c>
      <c r="Q347" s="82" t="str">
        <f t="shared" si="28"/>
      </c>
      <c r="R347" s="80"/>
      <c r="S347" s="81" t="str">
        <f t="shared" si="26"/>
      </c>
      <c r="T347" s="81" t="str">
        <f>IF(S347="","",J347/(POWER(1+'Oneri mensili'!$C$8,$B347-1+1)))</f>
      </c>
      <c r="U347" s="83" t="str">
        <f t="shared" si="29"/>
      </c>
      <c r="V347" s="81" t="str">
        <f>IF($B347="","",K347/(POWER(1+'Oneri mensili'!$C$8,$B347-1+1)))</f>
      </c>
      <c r="W347" s="80"/>
    </row>
    <row r="348" spans="1:23" s="85" customFormat="1">
      <c r="A348" s="76"/>
      <c r="B348" s="77" t="str">
        <f>IF($B347="","",IF($B347+1&gt;'Oneri mensili'!$C$4,"",Schema!B347+1))</f>
      </c>
      <c r="C348" s="78" t="str">
        <f>IF($B347="","",IF($B347+1&gt;'Oneri mensili'!$C$4,"",EOMONTH(C347,0)+1))</f>
      </c>
      <c r="D348" s="76"/>
      <c r="E348" s="78" t="str">
        <f>IF($B347="","",IF($B347+1&gt;'Oneri mensili'!$C$4,"",F347+1))</f>
      </c>
      <c r="F348" s="78" t="str">
        <f>IF($B347="","",IF($B347+1&gt;'Oneri mensili'!$C$4,"",EOMONTH(E348,0)))</f>
      </c>
      <c r="G348" s="79" t="str">
        <f>IF($B347="","",IF($B347+1&gt;'Oneri mensili'!$C$4,"",(F348-E348)+1)/DAY(F348))</f>
      </c>
      <c r="H348" s="80"/>
      <c r="I348" s="81" t="str">
        <f>IF($B347="","",IF($B347+1&gt;'Oneri mensili'!$C$4,"",I347-J347))</f>
      </c>
      <c r="J348" s="81" t="str">
        <f>IF($B347="","",IF($B347+1&gt;'Oneri mensili'!$C$4,"",IF(B347&lt;'Oneri mensili'!$C$11-1,0,IF('Oneri mensili'!$C$10=dropdowns!$B$186,'Oneri mensili'!$J$3,IF('Oneri mensili'!$C$10=dropdowns!$B$185,IFERROR('Oneri mensili'!$J$3-K348,0),0)))))</f>
      </c>
      <c r="K348" s="81" t="str">
        <f>IF($B347="","",IF($B347+1&gt;'Oneri mensili'!$C$4,"",G348*I348*'Oneri mensili'!$C$8))</f>
      </c>
      <c r="L348" s="81" t="str">
        <f t="shared" si="27"/>
      </c>
      <c r="M348" s="81" t="str">
        <f t="shared" si="25"/>
      </c>
      <c r="N348" s="80"/>
      <c r="O348" s="82" t="str">
        <f>IF($B348="","",'Oneri mensili'!$C$8)</f>
      </c>
      <c r="P348" s="82" t="str">
        <f>IF($B348="","",'Oneri mensili'!$C$8*(POWER(1+'Oneri mensili'!$C$8,$B348-1+1)))</f>
      </c>
      <c r="Q348" s="82" t="str">
        <f t="shared" si="28"/>
      </c>
      <c r="R348" s="80"/>
      <c r="S348" s="81" t="str">
        <f t="shared" si="26"/>
      </c>
      <c r="T348" s="81" t="str">
        <f>IF(S348="","",J348/(POWER(1+'Oneri mensili'!$C$8,$B348-1+1)))</f>
      </c>
      <c r="U348" s="83" t="str">
        <f t="shared" si="29"/>
      </c>
      <c r="V348" s="81" t="str">
        <f>IF($B348="","",K348/(POWER(1+'Oneri mensili'!$C$8,$B348-1+1)))</f>
      </c>
      <c r="W348" s="80"/>
    </row>
    <row r="349" spans="1:23" s="85" customFormat="1">
      <c r="A349" s="76"/>
      <c r="B349" s="77" t="str">
        <f>IF($B348="","",IF($B348+1&gt;'Oneri mensili'!$C$4,"",Schema!B348+1))</f>
      </c>
      <c r="C349" s="78" t="str">
        <f>IF($B348="","",IF($B348+1&gt;'Oneri mensili'!$C$4,"",EOMONTH(C348,0)+1))</f>
      </c>
      <c r="D349" s="76"/>
      <c r="E349" s="78" t="str">
        <f>IF($B348="","",IF($B348+1&gt;'Oneri mensili'!$C$4,"",F348+1))</f>
      </c>
      <c r="F349" s="78" t="str">
        <f>IF($B348="","",IF($B348+1&gt;'Oneri mensili'!$C$4,"",EOMONTH(E349,0)))</f>
      </c>
      <c r="G349" s="79" t="str">
        <f>IF($B348="","",IF($B348+1&gt;'Oneri mensili'!$C$4,"",(F349-E349)+1)/DAY(F349))</f>
      </c>
      <c r="H349" s="80"/>
      <c r="I349" s="81" t="str">
        <f>IF($B348="","",IF($B348+1&gt;'Oneri mensili'!$C$4,"",I348-J348))</f>
      </c>
      <c r="J349" s="81" t="str">
        <f>IF($B348="","",IF($B348+1&gt;'Oneri mensili'!$C$4,"",IF(B348&lt;'Oneri mensili'!$C$11-1,0,IF('Oneri mensili'!$C$10=dropdowns!$B$186,'Oneri mensili'!$J$3,IF('Oneri mensili'!$C$10=dropdowns!$B$185,IFERROR('Oneri mensili'!$J$3-K349,0),0)))))</f>
      </c>
      <c r="K349" s="81" t="str">
        <f>IF($B348="","",IF($B348+1&gt;'Oneri mensili'!$C$4,"",G349*I349*'Oneri mensili'!$C$8))</f>
      </c>
      <c r="L349" s="81" t="str">
        <f t="shared" si="27"/>
      </c>
      <c r="M349" s="81" t="str">
        <f t="shared" si="25"/>
      </c>
      <c r="N349" s="80"/>
      <c r="O349" s="82" t="str">
        <f>IF($B349="","",'Oneri mensili'!$C$8)</f>
      </c>
      <c r="P349" s="82" t="str">
        <f>IF($B349="","",'Oneri mensili'!$C$8*(POWER(1+'Oneri mensili'!$C$8,$B349-1+1)))</f>
      </c>
      <c r="Q349" s="82" t="str">
        <f t="shared" si="28"/>
      </c>
      <c r="R349" s="80"/>
      <c r="S349" s="81" t="str">
        <f t="shared" si="26"/>
      </c>
      <c r="T349" s="81" t="str">
        <f>IF(S349="","",J349/(POWER(1+'Oneri mensili'!$C$8,$B349-1+1)))</f>
      </c>
      <c r="U349" s="83" t="str">
        <f t="shared" si="29"/>
      </c>
      <c r="V349" s="81" t="str">
        <f>IF($B349="","",K349/(POWER(1+'Oneri mensili'!$C$8,$B349-1+1)))</f>
      </c>
      <c r="W349" s="80"/>
    </row>
    <row r="350" spans="1:23" s="85" customFormat="1">
      <c r="A350" s="76"/>
      <c r="B350" s="77" t="str">
        <f>IF($B349="","",IF($B349+1&gt;'Oneri mensili'!$C$4,"",Schema!B349+1))</f>
      </c>
      <c r="C350" s="78" t="str">
        <f>IF($B349="","",IF($B349+1&gt;'Oneri mensili'!$C$4,"",EOMONTH(C349,0)+1))</f>
      </c>
      <c r="D350" s="76"/>
      <c r="E350" s="78" t="str">
        <f>IF($B349="","",IF($B349+1&gt;'Oneri mensili'!$C$4,"",F349+1))</f>
      </c>
      <c r="F350" s="78" t="str">
        <f>IF($B349="","",IF($B349+1&gt;'Oneri mensili'!$C$4,"",EOMONTH(E350,0)))</f>
      </c>
      <c r="G350" s="79" t="str">
        <f>IF($B349="","",IF($B349+1&gt;'Oneri mensili'!$C$4,"",(F350-E350)+1)/DAY(F350))</f>
      </c>
      <c r="H350" s="80"/>
      <c r="I350" s="81" t="str">
        <f>IF($B349="","",IF($B349+1&gt;'Oneri mensili'!$C$4,"",I349-J349))</f>
      </c>
      <c r="J350" s="81" t="str">
        <f>IF($B349="","",IF($B349+1&gt;'Oneri mensili'!$C$4,"",IF(B349&lt;'Oneri mensili'!$C$11-1,0,IF('Oneri mensili'!$C$10=dropdowns!$B$186,'Oneri mensili'!$J$3,IF('Oneri mensili'!$C$10=dropdowns!$B$185,IFERROR('Oneri mensili'!$J$3-K350,0),0)))))</f>
      </c>
      <c r="K350" s="81" t="str">
        <f>IF($B349="","",IF($B349+1&gt;'Oneri mensili'!$C$4,"",G350*I350*'Oneri mensili'!$C$8))</f>
      </c>
      <c r="L350" s="81" t="str">
        <f t="shared" si="27"/>
      </c>
      <c r="M350" s="81" t="str">
        <f t="shared" si="25"/>
      </c>
      <c r="N350" s="80"/>
      <c r="O350" s="82" t="str">
        <f>IF($B350="","",'Oneri mensili'!$C$8)</f>
      </c>
      <c r="P350" s="82" t="str">
        <f>IF($B350="","",'Oneri mensili'!$C$8*(POWER(1+'Oneri mensili'!$C$8,$B350-1+1)))</f>
      </c>
      <c r="Q350" s="82" t="str">
        <f t="shared" si="28"/>
      </c>
      <c r="R350" s="80"/>
      <c r="S350" s="81" t="str">
        <f t="shared" si="26"/>
      </c>
      <c r="T350" s="81" t="str">
        <f>IF(S350="","",J350/(POWER(1+'Oneri mensili'!$C$8,$B350-1+1)))</f>
      </c>
      <c r="U350" s="83" t="str">
        <f t="shared" si="29"/>
      </c>
      <c r="V350" s="81" t="str">
        <f>IF($B350="","",K350/(POWER(1+'Oneri mensili'!$C$8,$B350-1+1)))</f>
      </c>
      <c r="W350" s="80"/>
    </row>
    <row r="351" spans="1:23" s="85" customFormat="1">
      <c r="A351" s="76"/>
      <c r="B351" s="77" t="str">
        <f>IF($B350="","",IF($B350+1&gt;'Oneri mensili'!$C$4,"",Schema!B350+1))</f>
      </c>
      <c r="C351" s="78" t="str">
        <f>IF($B350="","",IF($B350+1&gt;'Oneri mensili'!$C$4,"",EOMONTH(C350,0)+1))</f>
      </c>
      <c r="D351" s="76"/>
      <c r="E351" s="78" t="str">
        <f>IF($B350="","",IF($B350+1&gt;'Oneri mensili'!$C$4,"",F350+1))</f>
      </c>
      <c r="F351" s="78" t="str">
        <f>IF($B350="","",IF($B350+1&gt;'Oneri mensili'!$C$4,"",EOMONTH(E351,0)))</f>
      </c>
      <c r="G351" s="79" t="str">
        <f>IF($B350="","",IF($B350+1&gt;'Oneri mensili'!$C$4,"",(F351-E351)+1)/DAY(F351))</f>
      </c>
      <c r="H351" s="80"/>
      <c r="I351" s="81" t="str">
        <f>IF($B350="","",IF($B350+1&gt;'Oneri mensili'!$C$4,"",I350-J350))</f>
      </c>
      <c r="J351" s="81" t="str">
        <f>IF($B350="","",IF($B350+1&gt;'Oneri mensili'!$C$4,"",IF(B350&lt;'Oneri mensili'!$C$11-1,0,IF('Oneri mensili'!$C$10=dropdowns!$B$186,'Oneri mensili'!$J$3,IF('Oneri mensili'!$C$10=dropdowns!$B$185,IFERROR('Oneri mensili'!$J$3-K351,0),0)))))</f>
      </c>
      <c r="K351" s="81" t="str">
        <f>IF($B350="","",IF($B350+1&gt;'Oneri mensili'!$C$4,"",G351*I351*'Oneri mensili'!$C$8))</f>
      </c>
      <c r="L351" s="81" t="str">
        <f t="shared" si="27"/>
      </c>
      <c r="M351" s="81" t="str">
        <f t="shared" si="25"/>
      </c>
      <c r="N351" s="80"/>
      <c r="O351" s="82" t="str">
        <f>IF($B351="","",'Oneri mensili'!$C$8)</f>
      </c>
      <c r="P351" s="82" t="str">
        <f>IF($B351="","",'Oneri mensili'!$C$8*(POWER(1+'Oneri mensili'!$C$8,$B351-1+1)))</f>
      </c>
      <c r="Q351" s="82" t="str">
        <f t="shared" si="28"/>
      </c>
      <c r="R351" s="80"/>
      <c r="S351" s="81" t="str">
        <f t="shared" si="26"/>
      </c>
      <c r="T351" s="81" t="str">
        <f>IF(S351="","",J351/(POWER(1+'Oneri mensili'!$C$8,$B351-1+1)))</f>
      </c>
      <c r="U351" s="83" t="str">
        <f t="shared" si="29"/>
      </c>
      <c r="V351" s="81" t="str">
        <f>IF($B351="","",K351/(POWER(1+'Oneri mensili'!$C$8,$B351-1+1)))</f>
      </c>
      <c r="W351" s="80"/>
    </row>
    <row r="352" spans="1:23" s="85" customFormat="1">
      <c r="A352" s="76"/>
      <c r="B352" s="77" t="str">
        <f>IF($B351="","",IF($B351+1&gt;'Oneri mensili'!$C$4,"",Schema!B351+1))</f>
      </c>
      <c r="C352" s="78" t="str">
        <f>IF($B351="","",IF($B351+1&gt;'Oneri mensili'!$C$4,"",EOMONTH(C351,0)+1))</f>
      </c>
      <c r="D352" s="76"/>
      <c r="E352" s="78" t="str">
        <f>IF($B351="","",IF($B351+1&gt;'Oneri mensili'!$C$4,"",F351+1))</f>
      </c>
      <c r="F352" s="78" t="str">
        <f>IF($B351="","",IF($B351+1&gt;'Oneri mensili'!$C$4,"",EOMONTH(E352,0)))</f>
      </c>
      <c r="G352" s="79" t="str">
        <f>IF($B351="","",IF($B351+1&gt;'Oneri mensili'!$C$4,"",(F352-E352)+1)/DAY(F352))</f>
      </c>
      <c r="H352" s="80"/>
      <c r="I352" s="81" t="str">
        <f>IF($B351="","",IF($B351+1&gt;'Oneri mensili'!$C$4,"",I351-J351))</f>
      </c>
      <c r="J352" s="81" t="str">
        <f>IF($B351="","",IF($B351+1&gt;'Oneri mensili'!$C$4,"",IF(B351&lt;'Oneri mensili'!$C$11-1,0,IF('Oneri mensili'!$C$10=dropdowns!$B$186,'Oneri mensili'!$J$3,IF('Oneri mensili'!$C$10=dropdowns!$B$185,IFERROR('Oneri mensili'!$J$3-K352,0),0)))))</f>
      </c>
      <c r="K352" s="81" t="str">
        <f>IF($B351="","",IF($B351+1&gt;'Oneri mensili'!$C$4,"",G352*I352*'Oneri mensili'!$C$8))</f>
      </c>
      <c r="L352" s="81" t="str">
        <f t="shared" si="27"/>
      </c>
      <c r="M352" s="81" t="str">
        <f t="shared" si="25"/>
      </c>
      <c r="N352" s="80"/>
      <c r="O352" s="82" t="str">
        <f>IF($B352="","",'Oneri mensili'!$C$8)</f>
      </c>
      <c r="P352" s="82" t="str">
        <f>IF($B352="","",'Oneri mensili'!$C$8*(POWER(1+'Oneri mensili'!$C$8,$B352-1+1)))</f>
      </c>
      <c r="Q352" s="82" t="str">
        <f t="shared" si="28"/>
      </c>
      <c r="R352" s="80"/>
      <c r="S352" s="81" t="str">
        <f t="shared" si="26"/>
      </c>
      <c r="T352" s="81" t="str">
        <f>IF(S352="","",J352/(POWER(1+'Oneri mensili'!$C$8,$B352-1+1)))</f>
      </c>
      <c r="U352" s="83" t="str">
        <f t="shared" si="29"/>
      </c>
      <c r="V352" s="81" t="str">
        <f>IF($B352="","",K352/(POWER(1+'Oneri mensili'!$C$8,$B352-1+1)))</f>
      </c>
      <c r="W352" s="80"/>
    </row>
    <row r="353" spans="1:23" s="85" customFormat="1">
      <c r="A353" s="76"/>
      <c r="B353" s="77" t="str">
        <f>IF($B352="","",IF($B352+1&gt;'Oneri mensili'!$C$4,"",Schema!B352+1))</f>
      </c>
      <c r="C353" s="78" t="str">
        <f>IF($B352="","",IF($B352+1&gt;'Oneri mensili'!$C$4,"",EOMONTH(C352,0)+1))</f>
      </c>
      <c r="D353" s="76"/>
      <c r="E353" s="78" t="str">
        <f>IF($B352="","",IF($B352+1&gt;'Oneri mensili'!$C$4,"",F352+1))</f>
      </c>
      <c r="F353" s="78" t="str">
        <f>IF($B352="","",IF($B352+1&gt;'Oneri mensili'!$C$4,"",EOMONTH(E353,0)))</f>
      </c>
      <c r="G353" s="79" t="str">
        <f>IF($B352="","",IF($B352+1&gt;'Oneri mensili'!$C$4,"",(F353-E353)+1)/DAY(F353))</f>
      </c>
      <c r="H353" s="80"/>
      <c r="I353" s="81" t="str">
        <f>IF($B352="","",IF($B352+1&gt;'Oneri mensili'!$C$4,"",I352-J352))</f>
      </c>
      <c r="J353" s="81" t="str">
        <f>IF($B352="","",IF($B352+1&gt;'Oneri mensili'!$C$4,"",IF(B352&lt;'Oneri mensili'!$C$11-1,0,IF('Oneri mensili'!$C$10=dropdowns!$B$186,'Oneri mensili'!$J$3,IF('Oneri mensili'!$C$10=dropdowns!$B$185,IFERROR('Oneri mensili'!$J$3-K353,0),0)))))</f>
      </c>
      <c r="K353" s="81" t="str">
        <f>IF($B352="","",IF($B352+1&gt;'Oneri mensili'!$C$4,"",G353*I353*'Oneri mensili'!$C$8))</f>
      </c>
      <c r="L353" s="81" t="str">
        <f t="shared" si="27"/>
      </c>
      <c r="M353" s="81" t="str">
        <f t="shared" si="25"/>
      </c>
      <c r="N353" s="80"/>
      <c r="O353" s="82" t="str">
        <f>IF($B353="","",'Oneri mensili'!$C$8)</f>
      </c>
      <c r="P353" s="82" t="str">
        <f>IF($B353="","",'Oneri mensili'!$C$8*(POWER(1+'Oneri mensili'!$C$8,$B353-1+1)))</f>
      </c>
      <c r="Q353" s="82" t="str">
        <f t="shared" si="28"/>
      </c>
      <c r="R353" s="80"/>
      <c r="S353" s="81" t="str">
        <f t="shared" si="26"/>
      </c>
      <c r="T353" s="81" t="str">
        <f>IF(S353="","",J353/(POWER(1+'Oneri mensili'!$C$8,$B353-1+1)))</f>
      </c>
      <c r="U353" s="83" t="str">
        <f t="shared" si="29"/>
      </c>
      <c r="V353" s="81" t="str">
        <f>IF($B353="","",K353/(POWER(1+'Oneri mensili'!$C$8,$B353-1+1)))</f>
      </c>
      <c r="W353" s="80"/>
    </row>
    <row r="354" spans="1:23" s="85" customFormat="1">
      <c r="A354" s="76"/>
      <c r="B354" s="77" t="str">
        <f>IF($B353="","",IF($B353+1&gt;'Oneri mensili'!$C$4,"",Schema!B353+1))</f>
      </c>
      <c r="C354" s="78" t="str">
        <f>IF($B353="","",IF($B353+1&gt;'Oneri mensili'!$C$4,"",EOMONTH(C353,0)+1))</f>
      </c>
      <c r="D354" s="76"/>
      <c r="E354" s="78" t="str">
        <f>IF($B353="","",IF($B353+1&gt;'Oneri mensili'!$C$4,"",F353+1))</f>
      </c>
      <c r="F354" s="78" t="str">
        <f>IF($B353="","",IF($B353+1&gt;'Oneri mensili'!$C$4,"",EOMONTH(E354,0)))</f>
      </c>
      <c r="G354" s="79" t="str">
        <f>IF($B353="","",IF($B353+1&gt;'Oneri mensili'!$C$4,"",(F354-E354)+1)/DAY(F354))</f>
      </c>
      <c r="H354" s="80"/>
      <c r="I354" s="81" t="str">
        <f>IF($B353="","",IF($B353+1&gt;'Oneri mensili'!$C$4,"",I353-J353))</f>
      </c>
      <c r="J354" s="81" t="str">
        <f>IF($B353="","",IF($B353+1&gt;'Oneri mensili'!$C$4,"",IF(B353&lt;'Oneri mensili'!$C$11-1,0,IF('Oneri mensili'!$C$10=dropdowns!$B$186,'Oneri mensili'!$J$3,IF('Oneri mensili'!$C$10=dropdowns!$B$185,IFERROR('Oneri mensili'!$J$3-K354,0),0)))))</f>
      </c>
      <c r="K354" s="81" t="str">
        <f>IF($B353="","",IF($B353+1&gt;'Oneri mensili'!$C$4,"",G354*I354*'Oneri mensili'!$C$8))</f>
      </c>
      <c r="L354" s="81" t="str">
        <f t="shared" si="27"/>
      </c>
      <c r="M354" s="81" t="str">
        <f t="shared" si="25"/>
      </c>
      <c r="N354" s="80"/>
      <c r="O354" s="82" t="str">
        <f>IF($B354="","",'Oneri mensili'!$C$8)</f>
      </c>
      <c r="P354" s="82" t="str">
        <f>IF($B354="","",'Oneri mensili'!$C$8*(POWER(1+'Oneri mensili'!$C$8,$B354-1+1)))</f>
      </c>
      <c r="Q354" s="82" t="str">
        <f t="shared" si="28"/>
      </c>
      <c r="R354" s="80"/>
      <c r="S354" s="81" t="str">
        <f t="shared" si="26"/>
      </c>
      <c r="T354" s="81" t="str">
        <f>IF(S354="","",J354/(POWER(1+'Oneri mensili'!$C$8,$B354-1+1)))</f>
      </c>
      <c r="U354" s="83" t="str">
        <f t="shared" si="29"/>
      </c>
      <c r="V354" s="81" t="str">
        <f>IF($B354="","",K354/(POWER(1+'Oneri mensili'!$C$8,$B354-1+1)))</f>
      </c>
      <c r="W354" s="80"/>
    </row>
    <row r="355" spans="1:23" s="85" customFormat="1">
      <c r="A355" s="76"/>
      <c r="B355" s="77" t="str">
        <f>IF($B354="","",IF($B354+1&gt;'Oneri mensili'!$C$4,"",Schema!B354+1))</f>
      </c>
      <c r="C355" s="78" t="str">
        <f>IF($B354="","",IF($B354+1&gt;'Oneri mensili'!$C$4,"",EOMONTH(C354,0)+1))</f>
      </c>
      <c r="D355" s="76"/>
      <c r="E355" s="78" t="str">
        <f>IF($B354="","",IF($B354+1&gt;'Oneri mensili'!$C$4,"",F354+1))</f>
      </c>
      <c r="F355" s="78" t="str">
        <f>IF($B354="","",IF($B354+1&gt;'Oneri mensili'!$C$4,"",EOMONTH(E355,0)))</f>
      </c>
      <c r="G355" s="79" t="str">
        <f>IF($B354="","",IF($B354+1&gt;'Oneri mensili'!$C$4,"",(F355-E355)+1)/DAY(F355))</f>
      </c>
      <c r="H355" s="80"/>
      <c r="I355" s="81" t="str">
        <f>IF($B354="","",IF($B354+1&gt;'Oneri mensili'!$C$4,"",I354-J354))</f>
      </c>
      <c r="J355" s="81" t="str">
        <f>IF($B354="","",IF($B354+1&gt;'Oneri mensili'!$C$4,"",IF(B354&lt;'Oneri mensili'!$C$11-1,0,IF('Oneri mensili'!$C$10=dropdowns!$B$186,'Oneri mensili'!$J$3,IF('Oneri mensili'!$C$10=dropdowns!$B$185,IFERROR('Oneri mensili'!$J$3-K355,0),0)))))</f>
      </c>
      <c r="K355" s="81" t="str">
        <f>IF($B354="","",IF($B354+1&gt;'Oneri mensili'!$C$4,"",G355*I355*'Oneri mensili'!$C$8))</f>
      </c>
      <c r="L355" s="81" t="str">
        <f t="shared" si="27"/>
      </c>
      <c r="M355" s="81" t="str">
        <f t="shared" si="25"/>
      </c>
      <c r="N355" s="80"/>
      <c r="O355" s="82" t="str">
        <f>IF($B355="","",'Oneri mensili'!$C$8)</f>
      </c>
      <c r="P355" s="82" t="str">
        <f>IF($B355="","",'Oneri mensili'!$C$8*(POWER(1+'Oneri mensili'!$C$8,$B355-1+1)))</f>
      </c>
      <c r="Q355" s="82" t="str">
        <f t="shared" si="28"/>
      </c>
      <c r="R355" s="80"/>
      <c r="S355" s="81" t="str">
        <f t="shared" si="26"/>
      </c>
      <c r="T355" s="81" t="str">
        <f>IF(S355="","",J355/(POWER(1+'Oneri mensili'!$C$8,$B355-1+1)))</f>
      </c>
      <c r="U355" s="83" t="str">
        <f t="shared" si="29"/>
      </c>
      <c r="V355" s="81" t="str">
        <f>IF($B355="","",K355/(POWER(1+'Oneri mensili'!$C$8,$B355-1+1)))</f>
      </c>
      <c r="W355" s="80"/>
    </row>
    <row r="356" spans="1:23" s="85" customFormat="1">
      <c r="A356" s="76"/>
      <c r="B356" s="77" t="str">
        <f>IF($B355="","",IF($B355+1&gt;'Oneri mensili'!$C$4,"",Schema!B355+1))</f>
      </c>
      <c r="C356" s="78" t="str">
        <f>IF($B355="","",IF($B355+1&gt;'Oneri mensili'!$C$4,"",EOMONTH(C355,0)+1))</f>
      </c>
      <c r="D356" s="76"/>
      <c r="E356" s="78" t="str">
        <f>IF($B355="","",IF($B355+1&gt;'Oneri mensili'!$C$4,"",F355+1))</f>
      </c>
      <c r="F356" s="78" t="str">
        <f>IF($B355="","",IF($B355+1&gt;'Oneri mensili'!$C$4,"",EOMONTH(E356,0)))</f>
      </c>
      <c r="G356" s="79" t="str">
        <f>IF($B355="","",IF($B355+1&gt;'Oneri mensili'!$C$4,"",(F356-E356)+1)/DAY(F356))</f>
      </c>
      <c r="H356" s="80"/>
      <c r="I356" s="81" t="str">
        <f>IF($B355="","",IF($B355+1&gt;'Oneri mensili'!$C$4,"",I355-J355))</f>
      </c>
      <c r="J356" s="81" t="str">
        <f>IF($B355="","",IF($B355+1&gt;'Oneri mensili'!$C$4,"",IF(B355&lt;'Oneri mensili'!$C$11-1,0,IF('Oneri mensili'!$C$10=dropdowns!$B$186,'Oneri mensili'!$J$3,IF('Oneri mensili'!$C$10=dropdowns!$B$185,IFERROR('Oneri mensili'!$J$3-K356,0),0)))))</f>
      </c>
      <c r="K356" s="81" t="str">
        <f>IF($B355="","",IF($B355+1&gt;'Oneri mensili'!$C$4,"",G356*I356*'Oneri mensili'!$C$8))</f>
      </c>
      <c r="L356" s="81" t="str">
        <f t="shared" si="27"/>
      </c>
      <c r="M356" s="81" t="str">
        <f t="shared" si="25"/>
      </c>
      <c r="N356" s="80"/>
      <c r="O356" s="82" t="str">
        <f>IF($B356="","",'Oneri mensili'!$C$8)</f>
      </c>
      <c r="P356" s="82" t="str">
        <f>IF($B356="","",'Oneri mensili'!$C$8*(POWER(1+'Oneri mensili'!$C$8,$B356-1+1)))</f>
      </c>
      <c r="Q356" s="82" t="str">
        <f t="shared" si="28"/>
      </c>
      <c r="R356" s="80"/>
      <c r="S356" s="81" t="str">
        <f t="shared" si="26"/>
      </c>
      <c r="T356" s="81" t="str">
        <f>IF(S356="","",J356/(POWER(1+'Oneri mensili'!$C$8,$B356-1+1)))</f>
      </c>
      <c r="U356" s="83" t="str">
        <f t="shared" si="29"/>
      </c>
      <c r="V356" s="81" t="str">
        <f>IF($B356="","",K356/(POWER(1+'Oneri mensili'!$C$8,$B356-1+1)))</f>
      </c>
      <c r="W356" s="80"/>
    </row>
    <row r="357" spans="1:23" s="85" customFormat="1">
      <c r="A357" s="76"/>
      <c r="B357" s="77" t="str">
        <f>IF($B356="","",IF($B356+1&gt;'Oneri mensili'!$C$4,"",Schema!B356+1))</f>
      </c>
      <c r="C357" s="78" t="str">
        <f>IF($B356="","",IF($B356+1&gt;'Oneri mensili'!$C$4,"",EOMONTH(C356,0)+1))</f>
      </c>
      <c r="D357" s="76"/>
      <c r="E357" s="78" t="str">
        <f>IF($B356="","",IF($B356+1&gt;'Oneri mensili'!$C$4,"",F356+1))</f>
      </c>
      <c r="F357" s="78" t="str">
        <f>IF($B356="","",IF($B356+1&gt;'Oneri mensili'!$C$4,"",EOMONTH(E357,0)))</f>
      </c>
      <c r="G357" s="79" t="str">
        <f>IF($B356="","",IF($B356+1&gt;'Oneri mensili'!$C$4,"",(F357-E357)+1)/DAY(F357))</f>
      </c>
      <c r="H357" s="80"/>
      <c r="I357" s="81" t="str">
        <f>IF($B356="","",IF($B356+1&gt;'Oneri mensili'!$C$4,"",I356-J356))</f>
      </c>
      <c r="J357" s="81" t="str">
        <f>IF($B356="","",IF($B356+1&gt;'Oneri mensili'!$C$4,"",IF(B356&lt;'Oneri mensili'!$C$11-1,0,IF('Oneri mensili'!$C$10=dropdowns!$B$186,'Oneri mensili'!$J$3,IF('Oneri mensili'!$C$10=dropdowns!$B$185,IFERROR('Oneri mensili'!$J$3-K357,0),0)))))</f>
      </c>
      <c r="K357" s="81" t="str">
        <f>IF($B356="","",IF($B356+1&gt;'Oneri mensili'!$C$4,"",G357*I357*'Oneri mensili'!$C$8))</f>
      </c>
      <c r="L357" s="81" t="str">
        <f t="shared" si="27"/>
      </c>
      <c r="M357" s="81" t="str">
        <f t="shared" si="25"/>
      </c>
      <c r="N357" s="80"/>
      <c r="O357" s="82" t="str">
        <f>IF($B357="","",'Oneri mensili'!$C$8)</f>
      </c>
      <c r="P357" s="82" t="str">
        <f>IF($B357="","",'Oneri mensili'!$C$8*(POWER(1+'Oneri mensili'!$C$8,$B357-1+1)))</f>
      </c>
      <c r="Q357" s="82" t="str">
        <f t="shared" si="28"/>
      </c>
      <c r="R357" s="80"/>
      <c r="S357" s="81" t="str">
        <f t="shared" si="26"/>
      </c>
      <c r="T357" s="81" t="str">
        <f>IF(S357="","",J357/(POWER(1+'Oneri mensili'!$C$8,$B357-1+1)))</f>
      </c>
      <c r="U357" s="83" t="str">
        <f t="shared" si="29"/>
      </c>
      <c r="V357" s="81" t="str">
        <f>IF($B357="","",K357/(POWER(1+'Oneri mensili'!$C$8,$B357-1+1)))</f>
      </c>
      <c r="W357" s="80"/>
    </row>
    <row r="358" spans="1:23" s="85" customFormat="1">
      <c r="A358" s="76"/>
      <c r="B358" s="77" t="str">
        <f>IF($B357="","",IF($B357+1&gt;'Oneri mensili'!$C$4,"",Schema!B357+1))</f>
      </c>
      <c r="C358" s="78" t="str">
        <f>IF($B357="","",IF($B357+1&gt;'Oneri mensili'!$C$4,"",EOMONTH(C357,0)+1))</f>
      </c>
      <c r="D358" s="76"/>
      <c r="E358" s="78" t="str">
        <f>IF($B357="","",IF($B357+1&gt;'Oneri mensili'!$C$4,"",F357+1))</f>
      </c>
      <c r="F358" s="78" t="str">
        <f>IF($B357="","",IF($B357+1&gt;'Oneri mensili'!$C$4,"",EOMONTH(E358,0)))</f>
      </c>
      <c r="G358" s="79" t="str">
        <f>IF($B357="","",IF($B357+1&gt;'Oneri mensili'!$C$4,"",(F358-E358)+1)/DAY(F358))</f>
      </c>
      <c r="H358" s="80"/>
      <c r="I358" s="81" t="str">
        <f>IF($B357="","",IF($B357+1&gt;'Oneri mensili'!$C$4,"",I357-J357))</f>
      </c>
      <c r="J358" s="81" t="str">
        <f>IF($B357="","",IF($B357+1&gt;'Oneri mensili'!$C$4,"",IF(B357&lt;'Oneri mensili'!$C$11-1,0,IF('Oneri mensili'!$C$10=dropdowns!$B$186,'Oneri mensili'!$J$3,IF('Oneri mensili'!$C$10=dropdowns!$B$185,IFERROR('Oneri mensili'!$J$3-K358,0),0)))))</f>
      </c>
      <c r="K358" s="81" t="str">
        <f>IF($B357="","",IF($B357+1&gt;'Oneri mensili'!$C$4,"",G358*I358*'Oneri mensili'!$C$8))</f>
      </c>
      <c r="L358" s="81" t="str">
        <f t="shared" si="27"/>
      </c>
      <c r="M358" s="81" t="str">
        <f t="shared" si="25"/>
      </c>
      <c r="N358" s="80"/>
      <c r="O358" s="82" t="str">
        <f>IF($B358="","",'Oneri mensili'!$C$8)</f>
      </c>
      <c r="P358" s="82" t="str">
        <f>IF($B358="","",'Oneri mensili'!$C$8*(POWER(1+'Oneri mensili'!$C$8,$B358-1+1)))</f>
      </c>
      <c r="Q358" s="82" t="str">
        <f t="shared" si="28"/>
      </c>
      <c r="R358" s="80"/>
      <c r="S358" s="81" t="str">
        <f t="shared" si="26"/>
      </c>
      <c r="T358" s="81" t="str">
        <f>IF(S358="","",J358/(POWER(1+'Oneri mensili'!$C$8,$B358-1+1)))</f>
      </c>
      <c r="U358" s="83" t="str">
        <f t="shared" si="29"/>
      </c>
      <c r="V358" s="81" t="str">
        <f>IF($B358="","",K358/(POWER(1+'Oneri mensili'!$C$8,$B358-1+1)))</f>
      </c>
      <c r="W358" s="80"/>
    </row>
    <row r="359" spans="1:23" s="85" customFormat="1">
      <c r="A359" s="76"/>
      <c r="B359" s="77" t="str">
        <f>IF($B358="","",IF($B358+1&gt;'Oneri mensili'!$C$4,"",Schema!B358+1))</f>
      </c>
      <c r="C359" s="78" t="str">
        <f>IF($B358="","",IF($B358+1&gt;'Oneri mensili'!$C$4,"",EOMONTH(C358,0)+1))</f>
      </c>
      <c r="D359" s="76"/>
      <c r="E359" s="78" t="str">
        <f>IF($B358="","",IF($B358+1&gt;'Oneri mensili'!$C$4,"",F358+1))</f>
      </c>
      <c r="F359" s="78" t="str">
        <f>IF($B358="","",IF($B358+1&gt;'Oneri mensili'!$C$4,"",EOMONTH(E359,0)))</f>
      </c>
      <c r="G359" s="79" t="str">
        <f>IF($B358="","",IF($B358+1&gt;'Oneri mensili'!$C$4,"",(F359-E359)+1)/DAY(F359))</f>
      </c>
      <c r="H359" s="80"/>
      <c r="I359" s="81" t="str">
        <f>IF($B358="","",IF($B358+1&gt;'Oneri mensili'!$C$4,"",I358-J358))</f>
      </c>
      <c r="J359" s="81" t="str">
        <f>IF($B358="","",IF($B358+1&gt;'Oneri mensili'!$C$4,"",IF(B358&lt;'Oneri mensili'!$C$11-1,0,IF('Oneri mensili'!$C$10=dropdowns!$B$186,'Oneri mensili'!$J$3,IF('Oneri mensili'!$C$10=dropdowns!$B$185,IFERROR('Oneri mensili'!$J$3-K359,0),0)))))</f>
      </c>
      <c r="K359" s="81" t="str">
        <f>IF($B358="","",IF($B358+1&gt;'Oneri mensili'!$C$4,"",G359*I359*'Oneri mensili'!$C$8))</f>
      </c>
      <c r="L359" s="81" t="str">
        <f t="shared" si="27"/>
      </c>
      <c r="M359" s="81" t="str">
        <f t="shared" si="25"/>
      </c>
      <c r="N359" s="80"/>
      <c r="O359" s="82" t="str">
        <f>IF($B359="","",'Oneri mensili'!$C$8)</f>
      </c>
      <c r="P359" s="82" t="str">
        <f>IF($B359="","",'Oneri mensili'!$C$8*(POWER(1+'Oneri mensili'!$C$8,$B359-1+1)))</f>
      </c>
      <c r="Q359" s="82" t="str">
        <f t="shared" si="28"/>
      </c>
      <c r="R359" s="80"/>
      <c r="S359" s="81" t="str">
        <f t="shared" si="26"/>
      </c>
      <c r="T359" s="81" t="str">
        <f>IF(S359="","",J359/(POWER(1+'Oneri mensili'!$C$8,$B359-1+1)))</f>
      </c>
      <c r="U359" s="83" t="str">
        <f t="shared" si="29"/>
      </c>
      <c r="V359" s="81" t="str">
        <f>IF($B359="","",K359/(POWER(1+'Oneri mensili'!$C$8,$B359-1+1)))</f>
      </c>
      <c r="W359" s="80"/>
    </row>
    <row r="360" spans="1:23" s="85" customFormat="1">
      <c r="A360" s="76"/>
      <c r="B360" s="77" t="str">
        <f>IF($B359="","",IF($B359+1&gt;'Oneri mensili'!$C$4,"",Schema!B359+1))</f>
      </c>
      <c r="C360" s="78" t="str">
        <f>IF($B359="","",IF($B359+1&gt;'Oneri mensili'!$C$4,"",EOMONTH(C359,0)+1))</f>
      </c>
      <c r="D360" s="76"/>
      <c r="E360" s="78" t="str">
        <f>IF($B359="","",IF($B359+1&gt;'Oneri mensili'!$C$4,"",F359+1))</f>
      </c>
      <c r="F360" s="78" t="str">
        <f>IF($B359="","",IF($B359+1&gt;'Oneri mensili'!$C$4,"",EOMONTH(E360,0)))</f>
      </c>
      <c r="G360" s="79" t="str">
        <f>IF($B359="","",IF($B359+1&gt;'Oneri mensili'!$C$4,"",(F360-E360)+1)/DAY(F360))</f>
      </c>
      <c r="H360" s="80"/>
      <c r="I360" s="81" t="str">
        <f>IF($B359="","",IF($B359+1&gt;'Oneri mensili'!$C$4,"",I359-J359))</f>
      </c>
      <c r="J360" s="81" t="str">
        <f>IF($B359="","",IF($B359+1&gt;'Oneri mensili'!$C$4,"",IF(B359&lt;'Oneri mensili'!$C$11-1,0,IF('Oneri mensili'!$C$10=dropdowns!$B$186,'Oneri mensili'!$J$3,IF('Oneri mensili'!$C$10=dropdowns!$B$185,IFERROR('Oneri mensili'!$J$3-K360,0),0)))))</f>
      </c>
      <c r="K360" s="81" t="str">
        <f>IF($B359="","",IF($B359+1&gt;'Oneri mensili'!$C$4,"",G360*I360*'Oneri mensili'!$C$8))</f>
      </c>
      <c r="L360" s="81" t="str">
        <f t="shared" si="27"/>
      </c>
      <c r="M360" s="81" t="str">
        <f t="shared" si="25"/>
      </c>
      <c r="N360" s="80"/>
      <c r="O360" s="82" t="str">
        <f>IF($B360="","",'Oneri mensili'!$C$8)</f>
      </c>
      <c r="P360" s="82" t="str">
        <f>IF($B360="","",'Oneri mensili'!$C$8*(POWER(1+'Oneri mensili'!$C$8,$B360-1+1)))</f>
      </c>
      <c r="Q360" s="82" t="str">
        <f t="shared" si="28"/>
      </c>
      <c r="R360" s="80"/>
      <c r="S360" s="81" t="str">
        <f t="shared" si="26"/>
      </c>
      <c r="T360" s="81" t="str">
        <f>IF(S360="","",J360/(POWER(1+'Oneri mensili'!$C$8,$B360-1+1)))</f>
      </c>
      <c r="U360" s="83" t="str">
        <f t="shared" si="29"/>
      </c>
      <c r="V360" s="81" t="str">
        <f>IF($B360="","",K360/(POWER(1+'Oneri mensili'!$C$8,$B360-1+1)))</f>
      </c>
      <c r="W360" s="80"/>
    </row>
    <row r="361" spans="1:23" s="85" customFormat="1">
      <c r="A361" s="76"/>
      <c r="B361" s="77" t="str">
        <f>IF($B360="","",IF($B360+1&gt;'Oneri mensili'!$C$4,"",Schema!B360+1))</f>
      </c>
      <c r="C361" s="78" t="str">
        <f>IF($B360="","",IF($B360+1&gt;'Oneri mensili'!$C$4,"",EOMONTH(C360,0)+1))</f>
      </c>
      <c r="D361" s="76"/>
      <c r="E361" s="78" t="str">
        <f>IF($B360="","",IF($B360+1&gt;'Oneri mensili'!$C$4,"",F360+1))</f>
      </c>
      <c r="F361" s="78" t="str">
        <f>IF($B360="","",IF($B360+1&gt;'Oneri mensili'!$C$4,"",EOMONTH(E361,0)))</f>
      </c>
      <c r="G361" s="79" t="str">
        <f>IF($B360="","",IF($B360+1&gt;'Oneri mensili'!$C$4,"",(F361-E361)+1)/DAY(F361))</f>
      </c>
      <c r="H361" s="80"/>
      <c r="I361" s="81" t="str">
        <f>IF($B360="","",IF($B360+1&gt;'Oneri mensili'!$C$4,"",I360-J360))</f>
      </c>
      <c r="J361" s="81" t="str">
        <f>IF($B360="","",IF($B360+1&gt;'Oneri mensili'!$C$4,"",IF(B360&lt;'Oneri mensili'!$C$11-1,0,IF('Oneri mensili'!$C$10=dropdowns!$B$186,'Oneri mensili'!$J$3,IF('Oneri mensili'!$C$10=dropdowns!$B$185,IFERROR('Oneri mensili'!$J$3-K361,0),0)))))</f>
      </c>
      <c r="K361" s="81" t="str">
        <f>IF($B360="","",IF($B360+1&gt;'Oneri mensili'!$C$4,"",G361*I361*'Oneri mensili'!$C$8))</f>
      </c>
      <c r="L361" s="81" t="str">
        <f t="shared" si="27"/>
      </c>
      <c r="M361" s="81" t="str">
        <f t="shared" si="25"/>
      </c>
      <c r="N361" s="80"/>
      <c r="O361" s="82" t="str">
        <f>IF($B361="","",'Oneri mensili'!$C$8)</f>
      </c>
      <c r="P361" s="82" t="str">
        <f>IF($B361="","",'Oneri mensili'!$C$8*(POWER(1+'Oneri mensili'!$C$8,$B361-1+1)))</f>
      </c>
      <c r="Q361" s="82" t="str">
        <f t="shared" si="28"/>
      </c>
      <c r="R361" s="80"/>
      <c r="S361" s="81" t="str">
        <f t="shared" si="26"/>
      </c>
      <c r="T361" s="81" t="str">
        <f>IF(S361="","",J361/(POWER(1+'Oneri mensili'!$C$8,$B361-1+1)))</f>
      </c>
      <c r="U361" s="83" t="str">
        <f t="shared" si="29"/>
      </c>
      <c r="V361" s="81" t="str">
        <f>IF($B361="","",K361/(POWER(1+'Oneri mensili'!$C$8,$B361-1+1)))</f>
      </c>
      <c r="W361" s="80"/>
    </row>
    <row r="362" spans="1:23" s="85" customFormat="1">
      <c r="A362" s="76"/>
      <c r="B362" s="77" t="str">
        <f>IF($B361="","",IF($B361+1&gt;'Oneri mensili'!$C$4,"",Schema!B361+1))</f>
      </c>
      <c r="C362" s="78" t="str">
        <f>IF($B361="","",IF($B361+1&gt;'Oneri mensili'!$C$4,"",EOMONTH(C361,0)+1))</f>
      </c>
      <c r="D362" s="76"/>
      <c r="E362" s="78" t="str">
        <f>IF($B361="","",IF($B361+1&gt;'Oneri mensili'!$C$4,"",F361+1))</f>
      </c>
      <c r="F362" s="78" t="str">
        <f>IF($B361="","",IF($B361+1&gt;'Oneri mensili'!$C$4,"",EOMONTH(E362,0)))</f>
      </c>
      <c r="G362" s="79" t="str">
        <f>IF($B361="","",IF($B361+1&gt;'Oneri mensili'!$C$4,"",(F362-E362)+1)/DAY(F362))</f>
      </c>
      <c r="H362" s="80"/>
      <c r="I362" s="81" t="str">
        <f>IF($B361="","",IF($B361+1&gt;'Oneri mensili'!$C$4,"",I361-J361))</f>
      </c>
      <c r="J362" s="81" t="str">
        <f>IF($B361="","",IF($B361+1&gt;'Oneri mensili'!$C$4,"",IF(B361&lt;'Oneri mensili'!$C$11-1,0,IF('Oneri mensili'!$C$10=dropdowns!$B$186,'Oneri mensili'!$J$3,IF('Oneri mensili'!$C$10=dropdowns!$B$185,IFERROR('Oneri mensili'!$J$3-K362,0),0)))))</f>
      </c>
      <c r="K362" s="81" t="str">
        <f>IF($B361="","",IF($B361+1&gt;'Oneri mensili'!$C$4,"",G362*I362*'Oneri mensili'!$C$8))</f>
      </c>
      <c r="L362" s="81" t="str">
        <f t="shared" si="27"/>
      </c>
      <c r="M362" s="81" t="str">
        <f t="shared" si="25"/>
      </c>
      <c r="N362" s="80"/>
      <c r="O362" s="82" t="str">
        <f>IF($B362="","",'Oneri mensili'!$C$8)</f>
      </c>
      <c r="P362" s="82" t="str">
        <f>IF($B362="","",'Oneri mensili'!$C$8*(POWER(1+'Oneri mensili'!$C$8,$B362-1+1)))</f>
      </c>
      <c r="Q362" s="82" t="str">
        <f t="shared" si="28"/>
      </c>
      <c r="R362" s="80"/>
      <c r="S362" s="81" t="str">
        <f t="shared" si="26"/>
      </c>
      <c r="T362" s="81" t="str">
        <f>IF(S362="","",J362/(POWER(1+'Oneri mensili'!$C$8,$B362-1+1)))</f>
      </c>
      <c r="U362" s="83" t="str">
        <f t="shared" si="29"/>
      </c>
      <c r="V362" s="81" t="str">
        <f>IF($B362="","",K362/(POWER(1+'Oneri mensili'!$C$8,$B362-1+1)))</f>
      </c>
      <c r="W362" s="80"/>
    </row>
    <row r="363" spans="1:23" s="85" customFormat="1">
      <c r="A363" s="76"/>
      <c r="B363" s="77" t="str">
        <f>IF($B362="","",IF($B362+1&gt;'Oneri mensili'!$C$4,"",Schema!B362+1))</f>
      </c>
      <c r="C363" s="78" t="str">
        <f>IF($B362="","",IF($B362+1&gt;'Oneri mensili'!$C$4,"",EOMONTH(C362,0)+1))</f>
      </c>
      <c r="D363" s="76"/>
      <c r="E363" s="78" t="str">
        <f>IF($B362="","",IF($B362+1&gt;'Oneri mensili'!$C$4,"",F362+1))</f>
      </c>
      <c r="F363" s="78" t="str">
        <f>IF($B362="","",IF($B362+1&gt;'Oneri mensili'!$C$4,"",EOMONTH(E363,0)))</f>
      </c>
      <c r="G363" s="79" t="str">
        <f>IF($B362="","",IF($B362+1&gt;'Oneri mensili'!$C$4,"",(F363-E363)+1)/DAY(F363))</f>
      </c>
      <c r="H363" s="80"/>
      <c r="I363" s="81" t="str">
        <f>IF($B362="","",IF($B362+1&gt;'Oneri mensili'!$C$4,"",I362-J362))</f>
      </c>
      <c r="J363" s="81" t="str">
        <f>IF($B362="","",IF($B362+1&gt;'Oneri mensili'!$C$4,"",IF(B362&lt;'Oneri mensili'!$C$11-1,0,IF('Oneri mensili'!$C$10=dropdowns!$B$186,'Oneri mensili'!$J$3,IF('Oneri mensili'!$C$10=dropdowns!$B$185,IFERROR('Oneri mensili'!$J$3-K363,0),0)))))</f>
      </c>
      <c r="K363" s="81" t="str">
        <f>IF($B362="","",IF($B362+1&gt;'Oneri mensili'!$C$4,"",G363*I363*'Oneri mensili'!$C$8))</f>
      </c>
      <c r="L363" s="81" t="str">
        <f t="shared" si="27"/>
      </c>
      <c r="M363" s="81" t="str">
        <f t="shared" si="25"/>
      </c>
      <c r="N363" s="80"/>
      <c r="O363" s="82" t="str">
        <f>IF($B363="","",'Oneri mensili'!$C$8)</f>
      </c>
      <c r="P363" s="82" t="str">
        <f>IF($B363="","",'Oneri mensili'!$C$8*(POWER(1+'Oneri mensili'!$C$8,$B363-1+1)))</f>
      </c>
      <c r="Q363" s="82" t="str">
        <f t="shared" si="28"/>
      </c>
      <c r="R363" s="80"/>
      <c r="S363" s="81" t="str">
        <f t="shared" si="26"/>
      </c>
      <c r="T363" s="81" t="str">
        <f>IF(S363="","",J363/(POWER(1+'Oneri mensili'!$C$8,$B363-1+1)))</f>
      </c>
      <c r="U363" s="83" t="str">
        <f t="shared" si="29"/>
      </c>
      <c r="V363" s="81" t="str">
        <f>IF($B363="","",K363/(POWER(1+'Oneri mensili'!$C$8,$B363-1+1)))</f>
      </c>
      <c r="W363" s="80"/>
    </row>
    <row r="364" spans="1:23" s="85" customFormat="1">
      <c r="A364" s="76"/>
      <c r="B364" s="77" t="str">
        <f>IF($B363="","",IF($B363+1&gt;'Oneri mensili'!$C$4,"",Schema!B363+1))</f>
      </c>
      <c r="C364" s="78" t="str">
        <f>IF($B363="","",IF($B363+1&gt;'Oneri mensili'!$C$4,"",EOMONTH(C363,0)+1))</f>
      </c>
      <c r="D364" s="76"/>
      <c r="E364" s="78" t="str">
        <f>IF($B363="","",IF($B363+1&gt;'Oneri mensili'!$C$4,"",F363+1))</f>
      </c>
      <c r="F364" s="78" t="str">
        <f>IF($B363="","",IF($B363+1&gt;'Oneri mensili'!$C$4,"",EOMONTH(E364,0)))</f>
      </c>
      <c r="G364" s="79" t="str">
        <f>IF($B363="","",IF($B363+1&gt;'Oneri mensili'!$C$4,"",(F364-E364)+1)/DAY(F364))</f>
      </c>
      <c r="H364" s="80"/>
      <c r="I364" s="81" t="str">
        <f>IF($B363="","",IF($B363+1&gt;'Oneri mensili'!$C$4,"",I363-J363))</f>
      </c>
      <c r="J364" s="81" t="str">
        <f>IF($B363="","",IF($B363+1&gt;'Oneri mensili'!$C$4,"",IF(B363&lt;'Oneri mensili'!$C$11-1,0,IF('Oneri mensili'!$C$10=dropdowns!$B$186,'Oneri mensili'!$J$3,IF('Oneri mensili'!$C$10=dropdowns!$B$185,IFERROR('Oneri mensili'!$J$3-K364,0),0)))))</f>
      </c>
      <c r="K364" s="81" t="str">
        <f>IF($B363="","",IF($B363+1&gt;'Oneri mensili'!$C$4,"",G364*I364*'Oneri mensili'!$C$8))</f>
      </c>
      <c r="L364" s="81" t="str">
        <f t="shared" si="27"/>
      </c>
      <c r="M364" s="81" t="str">
        <f t="shared" si="25"/>
      </c>
      <c r="N364" s="80"/>
      <c r="O364" s="82" t="str">
        <f>IF($B364="","",'Oneri mensili'!$C$8)</f>
      </c>
      <c r="P364" s="82" t="str">
        <f>IF($B364="","",'Oneri mensili'!$C$8*(POWER(1+'Oneri mensili'!$C$8,$B364-1+1)))</f>
      </c>
      <c r="Q364" s="82" t="str">
        <f t="shared" si="28"/>
      </c>
      <c r="R364" s="80"/>
      <c r="S364" s="81" t="str">
        <f t="shared" si="26"/>
      </c>
      <c r="T364" s="81" t="str">
        <f>IF(S364="","",J364/(POWER(1+'Oneri mensili'!$C$8,$B364-1+1)))</f>
      </c>
      <c r="U364" s="83" t="str">
        <f t="shared" si="29"/>
      </c>
      <c r="V364" s="81" t="str">
        <f>IF($B364="","",K364/(POWER(1+'Oneri mensili'!$C$8,$B364-1+1)))</f>
      </c>
      <c r="W364" s="80"/>
    </row>
    <row r="365" spans="1:23" s="85" customFormat="1">
      <c r="A365" s="76"/>
      <c r="B365" s="77" t="str">
        <f>IF($B364="","",IF($B364+1&gt;'Oneri mensili'!$C$4,"",Schema!B364+1))</f>
      </c>
      <c r="C365" s="78" t="str">
        <f>IF($B364="","",IF($B364+1&gt;'Oneri mensili'!$C$4,"",EOMONTH(C364,0)+1))</f>
      </c>
      <c r="D365" s="76"/>
      <c r="E365" s="78" t="str">
        <f>IF($B364="","",IF($B364+1&gt;'Oneri mensili'!$C$4,"",F364+1))</f>
      </c>
      <c r="F365" s="78" t="str">
        <f>IF($B364="","",IF($B364+1&gt;'Oneri mensili'!$C$4,"",EOMONTH(E365,0)))</f>
      </c>
      <c r="G365" s="79" t="str">
        <f>IF($B364="","",IF($B364+1&gt;'Oneri mensili'!$C$4,"",(F365-E365)+1)/DAY(F365))</f>
      </c>
      <c r="H365" s="80"/>
      <c r="I365" s="81" t="str">
        <f>IF($B364="","",IF($B364+1&gt;'Oneri mensili'!$C$4,"",I364-J364))</f>
      </c>
      <c r="J365" s="81" t="str">
        <f>IF($B364="","",IF($B364+1&gt;'Oneri mensili'!$C$4,"",IF(B364&lt;'Oneri mensili'!$C$11-1,0,IF('Oneri mensili'!$C$10=dropdowns!$B$186,'Oneri mensili'!$J$3,IF('Oneri mensili'!$C$10=dropdowns!$B$185,IFERROR('Oneri mensili'!$J$3-K365,0),0)))))</f>
      </c>
      <c r="K365" s="81" t="str">
        <f>IF($B364="","",IF($B364+1&gt;'Oneri mensili'!$C$4,"",G365*I365*'Oneri mensili'!$C$8))</f>
      </c>
      <c r="L365" s="81" t="str">
        <f t="shared" si="27"/>
      </c>
      <c r="M365" s="81" t="str">
        <f t="shared" si="25"/>
      </c>
      <c r="N365" s="80"/>
      <c r="O365" s="82" t="str">
        <f>IF($B365="","",'Oneri mensili'!$C$8)</f>
      </c>
      <c r="P365" s="82" t="str">
        <f>IF($B365="","",'Oneri mensili'!$C$8*(POWER(1+'Oneri mensili'!$C$8,$B365-1+1)))</f>
      </c>
      <c r="Q365" s="82" t="str">
        <f t="shared" si="28"/>
      </c>
      <c r="R365" s="80"/>
      <c r="S365" s="81" t="str">
        <f t="shared" si="26"/>
      </c>
      <c r="T365" s="81" t="str">
        <f>IF(S365="","",J365/(POWER(1+'Oneri mensili'!$C$8,$B365-1+1)))</f>
      </c>
      <c r="U365" s="83" t="str">
        <f t="shared" si="29"/>
      </c>
      <c r="V365" s="81" t="str">
        <f>IF($B365="","",K365/(POWER(1+'Oneri mensili'!$C$8,$B365-1+1)))</f>
      </c>
      <c r="W365" s="80"/>
    </row>
    <row r="366" spans="1:23" s="85" customFormat="1">
      <c r="A366" s="76"/>
      <c r="B366" s="77" t="str">
        <f>IF($B365="","",IF($B365+1&gt;'Oneri mensili'!$C$4,"",Schema!B365+1))</f>
      </c>
      <c r="C366" s="78" t="str">
        <f>IF($B365="","",IF($B365+1&gt;'Oneri mensili'!$C$4,"",EOMONTH(C365,0)+1))</f>
      </c>
      <c r="D366" s="76"/>
      <c r="E366" s="78" t="str">
        <f>IF($B365="","",IF($B365+1&gt;'Oneri mensili'!$C$4,"",F365+1))</f>
      </c>
      <c r="F366" s="78" t="str">
        <f>IF($B365="","",IF($B365+1&gt;'Oneri mensili'!$C$4,"",EOMONTH(E366,0)))</f>
      </c>
      <c r="G366" s="79" t="str">
        <f>IF($B365="","",IF($B365+1&gt;'Oneri mensili'!$C$4,"",(F366-E366)+1)/DAY(F366))</f>
      </c>
      <c r="H366" s="80"/>
      <c r="I366" s="81" t="str">
        <f>IF($B365="","",IF($B365+1&gt;'Oneri mensili'!$C$4,"",I365-J365))</f>
      </c>
      <c r="J366" s="81" t="str">
        <f>IF($B365="","",IF($B365+1&gt;'Oneri mensili'!$C$4,"",IF(B365&lt;'Oneri mensili'!$C$11-1,0,IF('Oneri mensili'!$C$10=dropdowns!$B$186,'Oneri mensili'!$J$3,IF('Oneri mensili'!$C$10=dropdowns!$B$185,IFERROR('Oneri mensili'!$J$3-K366,0),0)))))</f>
      </c>
      <c r="K366" s="81" t="str">
        <f>IF($B365="","",IF($B365+1&gt;'Oneri mensili'!$C$4,"",G366*I366*'Oneri mensili'!$C$8))</f>
      </c>
      <c r="L366" s="81" t="str">
        <f t="shared" si="27"/>
      </c>
      <c r="M366" s="81" t="str">
        <f t="shared" si="25"/>
      </c>
      <c r="N366" s="80"/>
      <c r="O366" s="82" t="str">
        <f>IF($B366="","",'Oneri mensili'!$C$8)</f>
      </c>
      <c r="P366" s="82" t="str">
        <f>IF($B366="","",'Oneri mensili'!$C$8*(POWER(1+'Oneri mensili'!$C$8,$B366-1+1)))</f>
      </c>
      <c r="Q366" s="82" t="str">
        <f t="shared" si="28"/>
      </c>
      <c r="R366" s="80"/>
      <c r="S366" s="81" t="str">
        <f t="shared" si="26"/>
      </c>
      <c r="T366" s="81" t="str">
        <f>IF(S366="","",J366/(POWER(1+'Oneri mensili'!$C$8,$B366-1+1)))</f>
      </c>
      <c r="U366" s="83" t="str">
        <f t="shared" si="29"/>
      </c>
      <c r="V366" s="81" t="str">
        <f>IF($B366="","",K366/(POWER(1+'Oneri mensili'!$C$8,$B366-1+1)))</f>
      </c>
      <c r="W366" s="80"/>
    </row>
    <row r="367" spans="1:23" s="85" customFormat="1">
      <c r="A367" s="76"/>
      <c r="B367" s="77" t="str">
        <f>IF($B366="","",IF($B366+1&gt;'Oneri mensili'!$C$4,"",Schema!B366+1))</f>
      </c>
      <c r="C367" s="78" t="str">
        <f>IF($B366="","",IF($B366+1&gt;'Oneri mensili'!$C$4,"",EOMONTH(C366,0)+1))</f>
      </c>
      <c r="D367" s="76"/>
      <c r="E367" s="78" t="str">
        <f>IF($B366="","",IF($B366+1&gt;'Oneri mensili'!$C$4,"",F366+1))</f>
      </c>
      <c r="F367" s="78" t="str">
        <f>IF($B366="","",IF($B366+1&gt;'Oneri mensili'!$C$4,"",EOMONTH(E367,0)))</f>
      </c>
      <c r="G367" s="79" t="str">
        <f>IF($B366="","",IF($B366+1&gt;'Oneri mensili'!$C$4,"",(F367-E367)+1)/DAY(F367))</f>
      </c>
      <c r="H367" s="80"/>
      <c r="I367" s="81" t="str">
        <f>IF($B366="","",IF($B366+1&gt;'Oneri mensili'!$C$4,"",I366-J366))</f>
      </c>
      <c r="J367" s="81" t="str">
        <f>IF($B366="","",IF($B366+1&gt;'Oneri mensili'!$C$4,"",IF(B366&lt;'Oneri mensili'!$C$11-1,0,IF('Oneri mensili'!$C$10=dropdowns!$B$186,'Oneri mensili'!$J$3,IF('Oneri mensili'!$C$10=dropdowns!$B$185,IFERROR('Oneri mensili'!$J$3-K367,0),0)))))</f>
      </c>
      <c r="K367" s="81" t="str">
        <f>IF($B366="","",IF($B366+1&gt;'Oneri mensili'!$C$4,"",G367*I367*'Oneri mensili'!$C$8))</f>
      </c>
      <c r="L367" s="81" t="str">
        <f t="shared" si="27"/>
      </c>
      <c r="M367" s="81" t="str">
        <f t="shared" si="25"/>
      </c>
      <c r="N367" s="80"/>
      <c r="O367" s="82" t="str">
        <f>IF($B367="","",'Oneri mensili'!$C$8)</f>
      </c>
      <c r="P367" s="82" t="str">
        <f>IF($B367="","",'Oneri mensili'!$C$8*(POWER(1+'Oneri mensili'!$C$8,$B367-1+1)))</f>
      </c>
      <c r="Q367" s="82" t="str">
        <f t="shared" si="28"/>
      </c>
      <c r="R367" s="80"/>
      <c r="S367" s="81" t="str">
        <f t="shared" si="26"/>
      </c>
      <c r="T367" s="81" t="str">
        <f>IF(S367="","",J367/(POWER(1+'Oneri mensili'!$C$8,$B367-1+1)))</f>
      </c>
      <c r="U367" s="83" t="str">
        <f t="shared" si="29"/>
      </c>
      <c r="V367" s="81" t="str">
        <f>IF($B367="","",K367/(POWER(1+'Oneri mensili'!$C$8,$B367-1+1)))</f>
      </c>
      <c r="W367" s="80"/>
    </row>
    <row r="368" spans="1:23" s="85" customFormat="1">
      <c r="A368" s="76"/>
      <c r="B368" s="77" t="str">
        <f>IF($B367="","",IF($B367+1&gt;'Oneri mensili'!$C$4,"",Schema!B367+1))</f>
      </c>
      <c r="C368" s="78" t="str">
        <f>IF($B367="","",IF($B367+1&gt;'Oneri mensili'!$C$4,"",EOMONTH(C367,0)+1))</f>
      </c>
      <c r="D368" s="76"/>
      <c r="E368" s="78" t="str">
        <f>IF($B367="","",IF($B367+1&gt;'Oneri mensili'!$C$4,"",F367+1))</f>
      </c>
      <c r="F368" s="78" t="str">
        <f>IF($B367="","",IF($B367+1&gt;'Oneri mensili'!$C$4,"",EOMONTH(E368,0)))</f>
      </c>
      <c r="G368" s="79" t="str">
        <f>IF($B367="","",IF($B367+1&gt;'Oneri mensili'!$C$4,"",(F368-E368)+1)/DAY(F368))</f>
      </c>
      <c r="H368" s="80"/>
      <c r="I368" s="81" t="str">
        <f>IF($B367="","",IF($B367+1&gt;'Oneri mensili'!$C$4,"",I367-J367))</f>
      </c>
      <c r="J368" s="81" t="str">
        <f>IF($B367="","",IF($B367+1&gt;'Oneri mensili'!$C$4,"",IF(B367&lt;'Oneri mensili'!$C$11-1,0,IF('Oneri mensili'!$C$10=dropdowns!$B$186,'Oneri mensili'!$J$3,IF('Oneri mensili'!$C$10=dropdowns!$B$185,IFERROR('Oneri mensili'!$J$3-K368,0),0)))))</f>
      </c>
      <c r="K368" s="81" t="str">
        <f>IF($B367="","",IF($B367+1&gt;'Oneri mensili'!$C$4,"",G368*I368*'Oneri mensili'!$C$8))</f>
      </c>
      <c r="L368" s="81" t="str">
        <f t="shared" si="27"/>
      </c>
      <c r="M368" s="81" t="str">
        <f t="shared" si="25"/>
      </c>
      <c r="N368" s="80"/>
      <c r="O368" s="82" t="str">
        <f>IF($B368="","",'Oneri mensili'!$C$8)</f>
      </c>
      <c r="P368" s="82" t="str">
        <f>IF($B368="","",'Oneri mensili'!$C$8*(POWER(1+'Oneri mensili'!$C$8,$B368-1+1)))</f>
      </c>
      <c r="Q368" s="82" t="str">
        <f t="shared" si="28"/>
      </c>
      <c r="R368" s="80"/>
      <c r="S368" s="81" t="str">
        <f t="shared" si="26"/>
      </c>
      <c r="T368" s="81" t="str">
        <f>IF(S368="","",J368/(POWER(1+'Oneri mensili'!$C$8,$B368-1+1)))</f>
      </c>
      <c r="U368" s="83" t="str">
        <f t="shared" si="29"/>
      </c>
      <c r="V368" s="81" t="str">
        <f>IF($B368="","",K368/(POWER(1+'Oneri mensili'!$C$8,$B368-1+1)))</f>
      </c>
      <c r="W368" s="80"/>
    </row>
    <row r="369" spans="1:23" s="85" customFormat="1">
      <c r="A369" s="76"/>
      <c r="B369" s="77" t="str">
        <f>IF($B368="","",IF($B368+1&gt;'Oneri mensili'!$C$4,"",Schema!B368+1))</f>
      </c>
      <c r="C369" s="78" t="str">
        <f>IF($B368="","",IF($B368+1&gt;'Oneri mensili'!$C$4,"",EOMONTH(C368,0)+1))</f>
      </c>
      <c r="D369" s="76"/>
      <c r="E369" s="78" t="str">
        <f>IF($B368="","",IF($B368+1&gt;'Oneri mensili'!$C$4,"",F368+1))</f>
      </c>
      <c r="F369" s="78" t="str">
        <f>IF($B368="","",IF($B368+1&gt;'Oneri mensili'!$C$4,"",EOMONTH(E369,0)))</f>
      </c>
      <c r="G369" s="79" t="str">
        <f>IF($B368="","",IF($B368+1&gt;'Oneri mensili'!$C$4,"",(F369-E369)+1)/DAY(F369))</f>
      </c>
      <c r="H369" s="80"/>
      <c r="I369" s="81" t="str">
        <f>IF($B368="","",IF($B368+1&gt;'Oneri mensili'!$C$4,"",I368-J368))</f>
      </c>
      <c r="J369" s="81" t="str">
        <f>IF($B368="","",IF($B368+1&gt;'Oneri mensili'!$C$4,"",IF(B368&lt;'Oneri mensili'!$C$11-1,0,IF('Oneri mensili'!$C$10=dropdowns!$B$186,'Oneri mensili'!$J$3,IF('Oneri mensili'!$C$10=dropdowns!$B$185,IFERROR('Oneri mensili'!$J$3-K369,0),0)))))</f>
      </c>
      <c r="K369" s="81" t="str">
        <f>IF($B368="","",IF($B368+1&gt;'Oneri mensili'!$C$4,"",G369*I369*'Oneri mensili'!$C$8))</f>
      </c>
      <c r="L369" s="81" t="str">
        <f t="shared" si="27"/>
      </c>
      <c r="M369" s="81" t="str">
        <f t="shared" si="25"/>
      </c>
      <c r="N369" s="80"/>
      <c r="O369" s="82" t="str">
        <f>IF($B369="","",'Oneri mensili'!$C$8)</f>
      </c>
      <c r="P369" s="82" t="str">
        <f>IF($B369="","",'Oneri mensili'!$C$8*(POWER(1+'Oneri mensili'!$C$8,$B369-1+1)))</f>
      </c>
      <c r="Q369" s="82" t="str">
        <f t="shared" si="28"/>
      </c>
      <c r="R369" s="80"/>
      <c r="S369" s="81" t="str">
        <f t="shared" si="26"/>
      </c>
      <c r="T369" s="81" t="str">
        <f>IF(S369="","",J369/(POWER(1+'Oneri mensili'!$C$8,$B369-1+1)))</f>
      </c>
      <c r="U369" s="83" t="str">
        <f t="shared" si="29"/>
      </c>
      <c r="V369" s="81" t="str">
        <f>IF($B369="","",K369/(POWER(1+'Oneri mensili'!$C$8,$B369-1+1)))</f>
      </c>
      <c r="W369" s="80"/>
    </row>
  </sheetData>
  <sheetProtection algorithmName="SHA-512" hashValue="jpQONTx8WO1MQcV4ujQikC0KQI88Zfj++aiMd/vNPJ2KpVUYuhnlbl9p4nZMP8yK6kZsfGdcbOIW6ev4lJroHw==" saltValue="uCqfRbX7ZYA1RPyAPhSrbQ==" spinCount="100000" sheet="1" objects="1" scenarios="1"/>
  <mergeCells count="7">
    <mergeCell ref="A1:W2"/>
    <mergeCell ref="A3:W4"/>
    <mergeCell ref="B6:C6"/>
    <mergeCell ref="E6:G6"/>
    <mergeCell ref="I6:M6"/>
    <mergeCell ref="O6:Q6"/>
    <mergeCell ref="S6:V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DCE13-111E-4A07-AFA8-A27CB1F31661}">
  <dimension ref="A1:J203"/>
  <sheetViews>
    <sheetView workbookViewId="0">
      <selection activeCell="E4" sqref="E4"/>
    </sheetView>
  </sheetViews>
  <sheetFormatPr defaultRowHeight="12.75"/>
  <cols>
    <col min="1" max="1" width="35.85546875" bestFit="1" customWidth="1"/>
    <col min="2" max="2" width="35.140625" bestFit="1" customWidth="1"/>
    <col min="3" max="3" width="36" bestFit="1" customWidth="1"/>
    <col min="4" max="4" width="17.7109375" bestFit="1" customWidth="1"/>
    <col min="5" max="5" width="20.5703125" bestFit="1" customWidth="1"/>
    <col min="6" max="6" width="27" bestFit="1" customWidth="1"/>
    <col min="7" max="7" width="11.42578125" bestFit="1" customWidth="1"/>
    <col min="8" max="8" width="20.5703125" bestFit="1" customWidth="1"/>
    <col min="9" max="9" width="27" bestFit="1" customWidth="1"/>
    <col min="10" max="10" width="31.28515625" bestFit="1" customWidth="1"/>
  </cols>
  <sheetData>
    <row r="1" spans="1:10" ht="18.75">
      <c r="A1" s="96" t="s">
        <v>1012</v>
      </c>
      <c r="B1" s="97"/>
      <c r="C1"/>
      <c r="D1" s="98" t="str">
        <f>Vertaling!F1</f>
      </c>
      <c r="G1" t="s">
        <v>1014</v>
      </c>
      <c r="H1" t="s">
        <v>1015</v>
      </c>
      <c r="I1" s="99" t="s">
        <v>1016</v>
      </c>
      <c r="J1"/>
    </row>
    <row r="2" spans="1:10">
      <c r="A2" t="s">
        <v>1018</v>
      </c>
      <c r="B2">
        <f>IF(ISNUMBER(1*C2),1*C2,0)</f>
      </c>
      <c r="C2"/>
      <c r="F2" s="100"/>
      <c r="G2" t="str">
        <f>$B$7</f>
      </c>
      <c r="H2" t="str">
        <f>$B$25</f>
      </c>
      <c r="I2" t="str">
        <f>$B$142</f>
      </c>
      <c r="J2" t="str">
        <f>$C$198</f>
      </c>
    </row>
    <row r="3" spans="1:10">
      <c r="A3" t="s">
        <v>1020</v>
      </c>
      <c r="B3">
        <f>IF(ISNUMBER(1*C3),1*C3,0)</f>
      </c>
      <c r="C3"/>
      <c r="E3" s="97"/>
      <c r="G3" s="101" t="str">
        <f>IF(OR(G2="Ja",G2="Nee"),Vertaling!$C$1,IF(G2="Yes",Vertaling!$D$1,""))</f>
      </c>
      <c r="H3" s="101" t="str">
        <f>IF(G3&lt;&gt;"",G3,IF(OR(H2="Ja",H2="Nee"),Vertaling!$C$1,IF(H2="Yes",Vertaling!$D$1,"")))</f>
      </c>
      <c r="I3" s="101" t="str">
        <f>IF(H3&lt;&gt;"",H3,IF(LEFT(I2,6)="Binnen",Vertaling!$C$1,IF(LEFT(I2,6)="Within",Vertaling!$D$1,IF(OR(LEFT(I2,6)="Dentro",I2="Inmediatamente"),Vertaling!$E$1,IF(LEFT(I2,4)="Den ",Vertaling!#REF!,"")))))</f>
      </c>
      <c r="J3" s="101" t="str">
        <f>IF(I3&lt;&gt;"",I3,IF(LEFT(J2,5)="Maand",Vertaling!$C$1,IF(LEFT(J2,5)="Month",Vertaling!$D$1,IF(LEFT(J2,3)="Mes",Vertaling!$E$1,IF(LEFT(J2,4)="Luna",Vertaling!#REF!,"")))))</f>
      </c>
    </row>
    <row r="4" spans="1:10">
      <c r="A4" t="s">
        <v>1022</v>
      </c>
      <c r="B4">
        <f>IF(ISNUMBER(1*C4),1*C4,0)</f>
      </c>
      <c r="C4"/>
    </row>
    <row r="5" spans="1:10">
      <c r="A5" s="100" t="s">
        <v>1024</v>
      </c>
      <c r="B5" t="str">
        <f>IF(LEFT(C5,1)="%","",C5)</f>
      </c>
      <c r="C5"/>
    </row>
    <row r="6" spans="1:10">
      <c r="A6" s="100" t="s">
        <v>1026</v>
      </c>
      <c r="B6">
        <f>IF(ISNUMBER(1*C6),1*C6,0)</f>
      </c>
      <c r="C6"/>
    </row>
    <row r="7" spans="1:10">
      <c r="A7" s="100" t="s">
        <v>1014</v>
      </c>
      <c r="B7" t="str">
        <f>IF(LEFT(C7,1)="%","",C7)</f>
      </c>
      <c r="C7"/>
    </row>
    <row r="8" spans="1:10">
      <c r="A8" s="100" t="s">
        <v>1029</v>
      </c>
      <c r="B8">
        <f>IF(ISNUMBER(1*C8),1*C8,0)</f>
      </c>
      <c r="C8"/>
    </row>
    <row r="9" spans="1:10">
      <c r="A9" s="100" t="s">
        <v>1031</v>
      </c>
      <c r="B9">
        <f>IF(ISNUMBER(1*C9),1*C9,0)</f>
      </c>
      <c r="C9"/>
    </row>
    <row r="10" spans="1:10">
      <c r="A10" s="100" t="s">
        <v>1033</v>
      </c>
      <c r="B10">
        <f>IF(ISNUMBER(1*C10),1*C10,0)</f>
      </c>
      <c r="C10"/>
    </row>
    <row r="11" spans="1:10">
      <c r="A11" s="100" t="s">
        <v>1035</v>
      </c>
      <c r="B11">
        <f>IF(ISNUMBER(1*C11),1*C11,0)</f>
      </c>
      <c r="C11"/>
    </row>
    <row r="12" spans="1:10">
      <c r="A12" s="100" t="s">
        <v>1037</v>
      </c>
      <c r="B12">
        <f>IF(ISNUMBER(1*C12),1*C12,0)</f>
      </c>
      <c r="C12"/>
    </row>
    <row r="13" spans="1:10">
      <c r="A13" s="100" t="s">
        <v>1039</v>
      </c>
      <c r="B13">
        <f t="shared" ref="B13:B24" si="0">IF(ISNUMBER(1*C13),1*C13,0)</f>
      </c>
      <c r="C13"/>
    </row>
    <row r="14" spans="1:10">
      <c r="A14" s="100" t="s">
        <v>1041</v>
      </c>
      <c r="B14">
        <f t="shared" si="0"/>
      </c>
      <c r="C14"/>
    </row>
    <row r="15" spans="1:10">
      <c r="A15" s="100" t="s">
        <v>1043</v>
      </c>
      <c r="B15">
        <f t="shared" si="0"/>
      </c>
      <c r="C15"/>
    </row>
    <row r="16" spans="1:10">
      <c r="A16" s="100" t="s">
        <v>1045</v>
      </c>
      <c r="B16">
        <f t="shared" si="0"/>
      </c>
      <c r="C16"/>
    </row>
    <row r="17" spans="1:6">
      <c r="A17" s="100" t="s">
        <v>1047</v>
      </c>
      <c r="B17">
        <f t="shared" si="0"/>
      </c>
      <c r="C17"/>
    </row>
    <row r="18" spans="1:6">
      <c r="A18" s="100" t="s">
        <v>1049</v>
      </c>
      <c r="B18">
        <f t="shared" si="0"/>
      </c>
      <c r="C18"/>
    </row>
    <row r="19" spans="1:6">
      <c r="A19" s="100" t="s">
        <v>1051</v>
      </c>
      <c r="B19">
        <f t="shared" si="0"/>
      </c>
      <c r="C19"/>
    </row>
    <row r="20" spans="1:6" s="362" customFormat="1">
      <c r="A20" s="361" t="s">
        <v>1825</v>
      </c>
      <c r="B20" s="362">
        <f t="shared" si="0"/>
      </c>
      <c r="C20"/>
    </row>
    <row r="21" spans="1:6">
      <c r="A21" s="100" t="s">
        <v>1053</v>
      </c>
      <c r="B21">
        <f t="shared" si="0"/>
      </c>
      <c r="C21"/>
    </row>
    <row r="22" spans="1:6">
      <c r="A22" s="100" t="s">
        <v>1055</v>
      </c>
      <c r="B22">
        <f t="shared" si="0"/>
      </c>
      <c r="C22"/>
    </row>
    <row r="23" spans="1:6">
      <c r="A23" s="100" t="s">
        <v>1057</v>
      </c>
      <c r="B23">
        <f t="shared" si="0"/>
      </c>
      <c r="C23"/>
    </row>
    <row r="24" spans="1:6">
      <c r="A24" s="100" t="s">
        <v>1059</v>
      </c>
      <c r="B24">
        <f t="shared" si="0"/>
      </c>
      <c r="C24"/>
    </row>
    <row r="25" spans="1:6">
      <c r="A25" s="100" t="s">
        <v>1015</v>
      </c>
      <c r="B25" t="str">
        <f>IF(LEFT(C25,1)="%","",C25)</f>
      </c>
      <c r="C25"/>
    </row>
    <row r="26" spans="1:6">
      <c r="A26" s="100" t="s">
        <v>1062</v>
      </c>
      <c r="B26">
        <f t="shared" ref="B26:B33" si="1">IF(ISNUMBER(1*C26),1*C26,0)</f>
      </c>
      <c r="C26"/>
    </row>
    <row r="27" spans="1:6">
      <c r="A27" s="100" t="s">
        <v>1064</v>
      </c>
      <c r="B27">
        <f t="shared" si="1"/>
      </c>
      <c r="C27"/>
    </row>
    <row r="28" spans="1:6">
      <c r="A28" s="100" t="s">
        <v>1066</v>
      </c>
      <c r="B28">
        <f t="shared" si="1"/>
      </c>
      <c r="C28"/>
    </row>
    <row r="29" spans="1:6">
      <c r="A29" s="100" t="s">
        <v>1068</v>
      </c>
      <c r="B29">
        <f t="shared" si="1"/>
      </c>
      <c r="C29"/>
    </row>
    <row r="30" spans="1:6">
      <c r="A30" s="100" t="s">
        <v>1070</v>
      </c>
      <c r="B30">
        <f t="shared" si="1"/>
      </c>
      <c r="C30"/>
    </row>
    <row r="31" spans="1:6">
      <c r="A31" t="s">
        <v>1072</v>
      </c>
      <c r="B31">
        <f t="shared" si="1"/>
      </c>
      <c r="C31"/>
      <c r="F31" s="100"/>
    </row>
    <row r="32" spans="1:6">
      <c r="A32" t="s">
        <v>1074</v>
      </c>
      <c r="B32">
        <f t="shared" si="1"/>
      </c>
      <c r="C32"/>
    </row>
    <row r="33" spans="1:3">
      <c r="A33" t="s">
        <v>1076</v>
      </c>
      <c r="B33">
        <f t="shared" si="1"/>
      </c>
      <c r="C33"/>
    </row>
    <row r="34" spans="1:3">
      <c r="A34" s="100" t="s">
        <v>1078</v>
      </c>
      <c r="B34" t="str">
        <f>IF(LEFT(C34,1)="%","",C34)</f>
      </c>
      <c r="C34"/>
    </row>
    <row r="35" spans="1:3">
      <c r="A35" s="100" t="s">
        <v>1080</v>
      </c>
      <c r="B35">
        <f>IF(ISNUMBER(1*C35),1*C35,0)</f>
      </c>
      <c r="C35"/>
    </row>
    <row r="36" spans="1:3">
      <c r="A36" s="100" t="s">
        <v>1082</v>
      </c>
      <c r="C36"/>
    </row>
    <row r="37" spans="1:3">
      <c r="A37" s="100" t="s">
        <v>1084</v>
      </c>
      <c r="B37">
        <f>IF(ISNUMBER(1*C37),1*C37,0)</f>
      </c>
      <c r="C37"/>
    </row>
    <row r="38" spans="1:3">
      <c r="A38" s="100" t="s">
        <v>1086</v>
      </c>
      <c r="B38">
        <f>IF(ISNUMBER(1*C38),1*C38,0)</f>
      </c>
      <c r="C38"/>
    </row>
    <row r="39" spans="1:3">
      <c r="A39" s="100" t="s">
        <v>1088</v>
      </c>
      <c r="B39">
        <f>IF(ISNUMBER(1*C39),1*C39,0)</f>
      </c>
      <c r="C39"/>
    </row>
    <row r="40" spans="1:3">
      <c r="A40" s="100" t="s">
        <v>1090</v>
      </c>
      <c r="B40">
        <f>IF(ISNUMBER(1*C40),1*C40,0)</f>
      </c>
      <c r="C40"/>
    </row>
    <row r="41" spans="1:3">
      <c r="A41" s="100" t="s">
        <v>1092</v>
      </c>
      <c r="B41">
        <f>IF(ISNUMBER(1*C41),1*C41,0)</f>
      </c>
      <c r="C41"/>
    </row>
    <row r="42" spans="1:3">
      <c r="A42" s="100" t="s">
        <v>1094</v>
      </c>
      <c r="B42">
        <f t="shared" ref="B42:B52" si="2">IF(ISNUMBER(1*C42),1*C42,0)</f>
      </c>
      <c r="C42"/>
    </row>
    <row r="43" spans="1:3">
      <c r="A43" s="100" t="s">
        <v>1096</v>
      </c>
      <c r="B43">
        <f t="shared" si="2"/>
      </c>
      <c r="C43"/>
    </row>
    <row r="44" spans="1:3">
      <c r="A44" s="100" t="s">
        <v>1098</v>
      </c>
      <c r="B44">
        <f t="shared" si="2"/>
      </c>
      <c r="C44"/>
    </row>
    <row r="45" spans="1:3">
      <c r="A45" s="100" t="s">
        <v>1100</v>
      </c>
      <c r="B45">
        <f t="shared" si="2"/>
      </c>
      <c r="C45"/>
    </row>
    <row r="46" spans="1:3">
      <c r="A46" s="100" t="s">
        <v>1102</v>
      </c>
      <c r="B46">
        <f t="shared" si="2"/>
      </c>
      <c r="C46"/>
    </row>
    <row r="47" spans="1:3">
      <c r="A47" s="100" t="s">
        <v>1104</v>
      </c>
      <c r="B47">
        <f t="shared" si="2"/>
      </c>
      <c r="C47"/>
    </row>
    <row r="48" spans="1:3">
      <c r="A48" s="100" t="s">
        <v>1106</v>
      </c>
      <c r="B48">
        <f t="shared" si="2"/>
      </c>
      <c r="C48"/>
    </row>
    <row r="49" spans="1:3">
      <c r="A49" s="100" t="s">
        <v>1108</v>
      </c>
      <c r="B49">
        <f t="shared" si="2"/>
      </c>
      <c r="C49"/>
    </row>
    <row r="50" spans="1:3">
      <c r="A50" s="100" t="s">
        <v>1110</v>
      </c>
      <c r="B50">
        <f t="shared" si="2"/>
      </c>
      <c r="C50"/>
    </row>
    <row r="51" spans="1:3">
      <c r="A51" s="100" t="s">
        <v>1112</v>
      </c>
      <c r="B51">
        <f t="shared" si="2"/>
      </c>
      <c r="C51"/>
    </row>
    <row r="52" spans="1:3">
      <c r="A52" s="100" t="s">
        <v>1114</v>
      </c>
      <c r="B52">
        <f t="shared" si="2"/>
      </c>
      <c r="C52"/>
    </row>
    <row r="53" spans="1:3">
      <c r="A53" s="102" t="s">
        <v>1116</v>
      </c>
      <c r="B53" s="103" t="str">
        <f>IF(LEFT(C53,1)="%","",C53)</f>
      </c>
      <c r="C53"/>
    </row>
    <row r="54" spans="1:3">
      <c r="A54" s="102" t="s">
        <v>1118</v>
      </c>
      <c r="B54" s="103">
        <f t="shared" ref="B54:B59" si="3">IF(ISNUMBER(1*C54),1*C54,0)</f>
      </c>
      <c r="C54"/>
    </row>
    <row r="55" spans="1:3">
      <c r="A55" s="102" t="s">
        <v>1120</v>
      </c>
      <c r="B55" s="103">
        <f t="shared" si="3"/>
      </c>
      <c r="C55"/>
    </row>
    <row r="56" spans="1:3">
      <c r="A56" s="102" t="s">
        <v>1122</v>
      </c>
      <c r="B56" s="103">
        <f t="shared" si="3"/>
      </c>
      <c r="C56"/>
    </row>
    <row r="57" spans="1:3">
      <c r="A57" s="102" t="s">
        <v>1124</v>
      </c>
      <c r="B57" s="103">
        <f t="shared" si="3"/>
      </c>
      <c r="C57"/>
    </row>
    <row r="58" spans="1:3">
      <c r="A58" s="102" t="s">
        <v>1126</v>
      </c>
      <c r="B58" s="103">
        <f t="shared" si="3"/>
      </c>
      <c r="C58"/>
    </row>
    <row r="59" spans="1:3">
      <c r="A59" s="100" t="s">
        <v>1128</v>
      </c>
      <c r="B59">
        <f t="shared" si="3"/>
      </c>
      <c r="C59"/>
    </row>
    <row r="60" spans="1:3">
      <c r="A60" s="100" t="s">
        <v>1130</v>
      </c>
      <c r="B60" t="str">
        <f>IF(LEFT(C60,1)="%","",C60)</f>
      </c>
      <c r="C60"/>
    </row>
    <row r="61" spans="1:3">
      <c r="A61" s="100" t="s">
        <v>1132</v>
      </c>
      <c r="B61">
        <f>IF(ISNUMBER(1*C61),1*C61,0)</f>
      </c>
      <c r="C61"/>
    </row>
    <row r="62" spans="1:3">
      <c r="A62" s="100" t="s">
        <v>1134</v>
      </c>
      <c r="B62" t="str">
        <f>IF(LEFT(C62,1)="%","",C62)</f>
      </c>
      <c r="C62"/>
    </row>
    <row r="63" spans="1:3">
      <c r="A63" s="100" t="s">
        <v>1136</v>
      </c>
      <c r="B63">
        <f t="shared" ref="B63:B88" si="4">IF(ISNUMBER(1*C63),1*C63,0)</f>
      </c>
      <c r="C63"/>
    </row>
    <row r="64" spans="1:3">
      <c r="A64" s="100" t="s">
        <v>1138</v>
      </c>
      <c r="B64" t="str">
        <f>IF(LEFT(C64,1)="%","",C64)</f>
      </c>
      <c r="C64"/>
    </row>
    <row r="65" spans="1:3">
      <c r="A65" s="100" t="s">
        <v>1140</v>
      </c>
      <c r="B65">
        <f t="shared" si="4"/>
      </c>
      <c r="C65"/>
    </row>
    <row r="66" spans="1:3">
      <c r="A66" s="100" t="s">
        <v>1142</v>
      </c>
      <c r="B66" t="str">
        <f>IF(LEFT(C66,1)="%","",C66)</f>
      </c>
      <c r="C66"/>
    </row>
    <row r="67" spans="1:3">
      <c r="A67" s="100" t="s">
        <v>1144</v>
      </c>
      <c r="B67">
        <f t="shared" si="4"/>
      </c>
      <c r="C67"/>
    </row>
    <row r="68" spans="1:3">
      <c r="A68" s="100" t="s">
        <v>1146</v>
      </c>
      <c r="B68" t="str">
        <f>IF(LEFT(C68,1)="%","",C68)</f>
      </c>
      <c r="C68"/>
    </row>
    <row r="69" spans="1:3">
      <c r="A69" s="100" t="s">
        <v>1148</v>
      </c>
      <c r="B69">
        <f t="shared" si="4"/>
      </c>
      <c r="C69"/>
    </row>
    <row r="70" spans="1:3">
      <c r="A70" s="100" t="s">
        <v>1150</v>
      </c>
      <c r="B70" t="str">
        <f>IF(LEFT(C70,1)="%","",C70)</f>
      </c>
      <c r="C70"/>
    </row>
    <row r="71" spans="1:3">
      <c r="A71" s="100" t="s">
        <v>1152</v>
      </c>
      <c r="B71">
        <f t="shared" si="4"/>
      </c>
      <c r="C71"/>
    </row>
    <row r="72" spans="1:3">
      <c r="A72" s="100" t="s">
        <v>1154</v>
      </c>
      <c r="B72" t="str">
        <f>IF(LEFT(C72,1)="%","",C72)</f>
      </c>
      <c r="C72"/>
    </row>
    <row r="73" spans="1:3">
      <c r="A73" s="102" t="s">
        <v>1156</v>
      </c>
      <c r="B73" s="103">
        <f>IF(ISNUMBER(1*C73),1*C73,0)</f>
      </c>
      <c r="C73"/>
    </row>
    <row r="74" spans="1:3">
      <c r="A74" s="102" t="s">
        <v>1158</v>
      </c>
      <c r="B74" s="103" t="str">
        <f>IF(LEFT(C74,1)="%","",C74)</f>
      </c>
      <c r="C74"/>
    </row>
    <row r="75" spans="1:3">
      <c r="A75" s="100" t="s">
        <v>1160</v>
      </c>
      <c r="B75">
        <f t="shared" si="4"/>
      </c>
      <c r="C75"/>
    </row>
    <row r="76" spans="1:3">
      <c r="A76" s="100" t="s">
        <v>1162</v>
      </c>
      <c r="B76">
        <f t="shared" si="4"/>
      </c>
      <c r="C76"/>
    </row>
    <row r="77" spans="1:3">
      <c r="A77" s="100" t="s">
        <v>1164</v>
      </c>
      <c r="B77">
        <f t="shared" si="4"/>
      </c>
      <c r="C77"/>
    </row>
    <row r="78" spans="1:3">
      <c r="A78" s="100" t="s">
        <v>1166</v>
      </c>
      <c r="B78">
        <f t="shared" si="4"/>
      </c>
      <c r="C78"/>
    </row>
    <row r="79" spans="1:3">
      <c r="A79" s="100" t="s">
        <v>1168</v>
      </c>
      <c r="B79">
        <f>IF(LEFT(C79,1)="%",0,C79)</f>
      </c>
      <c r="C79"/>
    </row>
    <row r="80" spans="1:3">
      <c r="A80" s="100" t="s">
        <v>1170</v>
      </c>
      <c r="B80">
        <f t="shared" si="4"/>
      </c>
      <c r="C80"/>
    </row>
    <row r="81" spans="1:3">
      <c r="A81" s="100" t="s">
        <v>1172</v>
      </c>
      <c r="B81">
        <f t="shared" si="4"/>
      </c>
      <c r="C81"/>
    </row>
    <row r="82" spans="1:3">
      <c r="A82" s="100" t="s">
        <v>1174</v>
      </c>
      <c r="B82">
        <f t="shared" si="4"/>
      </c>
      <c r="C82"/>
    </row>
    <row r="83" spans="1:3">
      <c r="A83" s="100" t="s">
        <v>1176</v>
      </c>
      <c r="B83">
        <f t="shared" si="4"/>
      </c>
      <c r="C83"/>
    </row>
    <row r="84" spans="1:3">
      <c r="A84" s="100" t="s">
        <v>1178</v>
      </c>
      <c r="B84">
        <f t="shared" si="4"/>
      </c>
      <c r="C84"/>
    </row>
    <row r="85" spans="1:3">
      <c r="A85" s="100" t="s">
        <v>1180</v>
      </c>
      <c r="B85" t="str">
        <f>IF(LEFT(C85,1)="%","",C85)</f>
      </c>
      <c r="C85"/>
    </row>
    <row r="86" spans="1:3">
      <c r="A86" s="100" t="s">
        <v>1182</v>
      </c>
      <c r="B86">
        <f t="shared" si="4"/>
      </c>
      <c r="C86"/>
    </row>
    <row r="87" spans="1:3">
      <c r="A87" s="100" t="s">
        <v>1184</v>
      </c>
      <c r="B87">
        <f t="shared" si="4"/>
      </c>
      <c r="C87"/>
    </row>
    <row r="88" spans="1:3">
      <c r="A88" s="100" t="s">
        <v>1186</v>
      </c>
      <c r="B88">
        <f t="shared" si="4"/>
      </c>
      <c r="C88"/>
    </row>
    <row r="89" spans="1:3">
      <c r="A89" s="100" t="s">
        <v>1188</v>
      </c>
      <c r="B89" t="str">
        <f>IF(LEFT(C89,1)="%","",C89)</f>
      </c>
      <c r="C89"/>
    </row>
    <row r="90" spans="1:3">
      <c r="A90" s="100" t="s">
        <v>1190</v>
      </c>
      <c r="B90">
        <f>IF(ISNUMBER(1*C90),1*C90,0)</f>
      </c>
      <c r="C90"/>
    </row>
    <row r="91" spans="1:3">
      <c r="A91" s="100" t="s">
        <v>1192</v>
      </c>
      <c r="B91" t="str">
        <f>IF(LEFT(C91,1)="%","",C91)</f>
      </c>
      <c r="C91"/>
    </row>
    <row r="92" spans="1:3">
      <c r="A92" s="100" t="s">
        <v>1193</v>
      </c>
      <c r="B92">
        <f>IF(ISNUMBER(1*C92),1*C92,0)</f>
      </c>
      <c r="C92"/>
    </row>
    <row r="93" spans="1:3">
      <c r="A93" s="100" t="s">
        <v>1195</v>
      </c>
      <c r="B93" t="str">
        <f>IF(LEFT(C93,1)="%","",C93)</f>
      </c>
      <c r="C93"/>
    </row>
    <row r="94" spans="1:3">
      <c r="A94" s="100" t="s">
        <v>1197</v>
      </c>
      <c r="B94">
        <f>IF(ISNUMBER(1*C94),1*C94,0)</f>
      </c>
      <c r="C94"/>
    </row>
    <row r="95" spans="1:3">
      <c r="A95" s="100" t="s">
        <v>1199</v>
      </c>
      <c r="B95">
        <f t="shared" ref="B95:B100" si="5">IF(ISNUMBER(1*C95),1*C95,0)</f>
      </c>
      <c r="C95"/>
    </row>
    <row r="96" spans="1:3">
      <c r="A96" s="100" t="s">
        <v>1201</v>
      </c>
      <c r="B96">
        <f t="shared" si="5"/>
      </c>
      <c r="C96"/>
    </row>
    <row r="97" spans="1:3">
      <c r="A97" s="100" t="s">
        <v>1203</v>
      </c>
      <c r="B97">
        <f t="shared" si="5"/>
      </c>
      <c r="C97"/>
    </row>
    <row r="98" spans="1:3">
      <c r="A98" s="100" t="s">
        <v>1205</v>
      </c>
      <c r="B98">
        <f t="shared" si="5"/>
      </c>
      <c r="C98"/>
    </row>
    <row r="99" spans="1:3">
      <c r="A99" s="100" t="s">
        <v>1207</v>
      </c>
      <c r="B99">
        <f t="shared" si="5"/>
      </c>
      <c r="C99"/>
    </row>
    <row r="100" spans="1:3">
      <c r="A100" s="100" t="s">
        <v>1209</v>
      </c>
      <c r="B100">
        <f t="shared" si="5"/>
      </c>
      <c r="C100"/>
    </row>
    <row r="101" spans="1:3">
      <c r="A101" s="100" t="s">
        <v>1211</v>
      </c>
      <c r="B101" t="str">
        <f>IF(LEFT(C101,1)="%","",IF(LEFT(C101,3)="Nee","Nee",C101))</f>
      </c>
      <c r="C101"/>
    </row>
    <row r="102" spans="1:3">
      <c r="A102" s="100" t="s">
        <v>1213</v>
      </c>
      <c r="B102">
        <f>IF(OR(LEFT(C102,1)="%",C102=""),0,C102/100)</f>
      </c>
      <c r="C102"/>
    </row>
    <row r="103" spans="1:3">
      <c r="A103" s="100" t="s">
        <v>1215</v>
      </c>
      <c r="B103">
        <f>IF(LEFT(C103,1)="%",0,C103)</f>
      </c>
      <c r="C103"/>
    </row>
    <row r="104" spans="1:3">
      <c r="A104" s="100" t="s">
        <v>1217</v>
      </c>
      <c r="C104"/>
    </row>
    <row r="105" spans="1:3">
      <c r="A105" s="100" t="s">
        <v>1219</v>
      </c>
      <c r="B105">
        <f>IF(LEFT(C105,1)="%",0,C105)</f>
      </c>
      <c r="C105"/>
    </row>
    <row r="106" spans="1:3">
      <c r="A106" s="100" t="s">
        <v>1221</v>
      </c>
      <c r="B106">
        <f t="shared" ref="B106:B117" si="6">IF(ISNUMBER(1*C106),1*C106,0)</f>
      </c>
      <c r="C106"/>
    </row>
    <row r="107" spans="1:3">
      <c r="A107" s="100" t="s">
        <v>1223</v>
      </c>
      <c r="B107">
        <f t="shared" si="6"/>
      </c>
      <c r="C107"/>
    </row>
    <row r="108" spans="1:3">
      <c r="A108" s="100" t="s">
        <v>1225</v>
      </c>
      <c r="B108">
        <f t="shared" si="6"/>
      </c>
      <c r="C108"/>
    </row>
    <row r="109" spans="1:3">
      <c r="A109" s="100" t="s">
        <v>1227</v>
      </c>
      <c r="B109">
        <f t="shared" si="6"/>
      </c>
      <c r="C109"/>
    </row>
    <row r="110" spans="1:3">
      <c r="A110" s="100" t="s">
        <v>1229</v>
      </c>
      <c r="B110">
        <f t="shared" si="6"/>
      </c>
      <c r="C110"/>
    </row>
    <row r="111" spans="1:3">
      <c r="A111" s="100" t="s">
        <v>1231</v>
      </c>
      <c r="B111">
        <f t="shared" si="6"/>
      </c>
      <c r="C111"/>
    </row>
    <row r="112" spans="1:3">
      <c r="A112" s="100" t="s">
        <v>1233</v>
      </c>
      <c r="B112">
        <f t="shared" si="6"/>
      </c>
      <c r="C112"/>
    </row>
    <row r="113" spans="1:3">
      <c r="A113" s="100" t="s">
        <v>1235</v>
      </c>
      <c r="B113">
        <f t="shared" si="6"/>
      </c>
      <c r="C113"/>
    </row>
    <row r="114" spans="1:3">
      <c r="A114" s="100" t="s">
        <v>1237</v>
      </c>
      <c r="B114">
        <f t="shared" si="6"/>
      </c>
      <c r="C114"/>
    </row>
    <row r="115" spans="1:3">
      <c r="A115" s="100" t="s">
        <v>1239</v>
      </c>
      <c r="B115">
        <f t="shared" si="6"/>
      </c>
      <c r="C115"/>
    </row>
    <row r="116" spans="1:3">
      <c r="A116" s="100" t="s">
        <v>1241</v>
      </c>
      <c r="B116">
        <f t="shared" si="6"/>
      </c>
      <c r="C116"/>
    </row>
    <row r="117" spans="1:3">
      <c r="A117" s="100" t="s">
        <v>1243</v>
      </c>
      <c r="B117">
        <f t="shared" si="6"/>
      </c>
      <c r="C117"/>
    </row>
    <row r="118" spans="1:3">
      <c r="A118" s="100" t="s">
        <v>1725</v>
      </c>
      <c r="B118">
        <f t="shared" ref="B118:B136" si="7">IF(ISNUMBER(1*C118),1*C118,0)</f>
      </c>
      <c r="C118"/>
    </row>
    <row r="119" spans="1:3">
      <c r="A119" s="100" t="s">
        <v>1726</v>
      </c>
      <c r="B119">
        <f t="shared" si="7"/>
      </c>
      <c r="C119"/>
    </row>
    <row r="120" spans="1:3">
      <c r="A120" s="100" t="s">
        <v>1727</v>
      </c>
      <c r="B120">
        <f t="shared" si="7"/>
      </c>
      <c r="C120"/>
    </row>
    <row r="121" spans="1:3">
      <c r="A121" s="100" t="s">
        <v>1728</v>
      </c>
      <c r="B121">
        <f t="shared" si="7"/>
      </c>
      <c r="C121"/>
    </row>
    <row r="122" spans="1:3">
      <c r="A122" s="100" t="s">
        <v>1729</v>
      </c>
      <c r="B122">
        <f t="shared" si="7"/>
      </c>
      <c r="C122"/>
    </row>
    <row r="123" spans="1:3">
      <c r="A123" s="100" t="s">
        <v>1730</v>
      </c>
      <c r="B123">
        <f t="shared" si="7"/>
      </c>
      <c r="C123"/>
    </row>
    <row r="124" spans="1:3">
      <c r="A124" s="100" t="s">
        <v>1731</v>
      </c>
      <c r="B124">
        <f t="shared" si="7"/>
      </c>
      <c r="C124"/>
    </row>
    <row r="125" spans="1:3">
      <c r="A125" s="100" t="s">
        <v>1732</v>
      </c>
      <c r="B125">
        <f t="shared" si="7"/>
      </c>
      <c r="C125"/>
    </row>
    <row r="126" spans="1:3">
      <c r="A126" s="100" t="s">
        <v>1733</v>
      </c>
      <c r="B126">
        <f t="shared" si="7"/>
      </c>
      <c r="C126"/>
    </row>
    <row r="127" spans="1:3">
      <c r="A127" s="100" t="s">
        <v>1734</v>
      </c>
      <c r="B127">
        <f t="shared" si="7"/>
      </c>
      <c r="C127"/>
    </row>
    <row r="128" spans="1:3">
      <c r="A128" s="100" t="s">
        <v>1735</v>
      </c>
      <c r="B128">
        <f t="shared" si="7"/>
      </c>
      <c r="C128"/>
    </row>
    <row r="129" spans="1:3">
      <c r="A129" s="100" t="s">
        <v>1736</v>
      </c>
      <c r="B129">
        <f t="shared" si="7"/>
      </c>
      <c r="C129"/>
    </row>
    <row r="130" spans="1:3">
      <c r="A130" s="100" t="s">
        <v>1737</v>
      </c>
      <c r="B130">
        <f t="shared" si="7"/>
      </c>
      <c r="C130"/>
    </row>
    <row r="131" spans="1:3">
      <c r="A131" s="100" t="s">
        <v>1738</v>
      </c>
      <c r="B131">
        <f t="shared" si="7"/>
      </c>
      <c r="C131"/>
    </row>
    <row r="132" spans="1:3">
      <c r="A132" s="100" t="s">
        <v>1739</v>
      </c>
      <c r="B132">
        <f t="shared" si="7"/>
      </c>
      <c r="C132"/>
    </row>
    <row r="133" spans="1:3">
      <c r="A133" s="100" t="s">
        <v>1740</v>
      </c>
      <c r="B133">
        <f t="shared" si="7"/>
      </c>
      <c r="C133"/>
    </row>
    <row r="134" spans="1:3">
      <c r="A134" s="100" t="s">
        <v>1741</v>
      </c>
      <c r="B134">
        <f t="shared" si="7"/>
      </c>
      <c r="C134"/>
    </row>
    <row r="135" spans="1:3">
      <c r="A135" s="100" t="s">
        <v>1742</v>
      </c>
      <c r="B135">
        <f t="shared" si="7"/>
      </c>
      <c r="C135"/>
    </row>
    <row r="136" spans="1:3">
      <c r="A136" s="100" t="s">
        <v>1743</v>
      </c>
      <c r="B136">
        <f t="shared" si="7"/>
      </c>
      <c r="C136"/>
    </row>
    <row r="137" spans="1:3">
      <c r="A137" s="100" t="s">
        <v>1744</v>
      </c>
      <c r="B137">
        <f>IF(ISNUMBER(1*C137),1*C137,0)</f>
      </c>
      <c r="C137"/>
    </row>
    <row r="138" spans="1:3">
      <c r="A138" s="100" t="s">
        <v>1745</v>
      </c>
      <c r="B138">
        <f>IF(ISNUMBER(1*C138),1*C138,0)</f>
      </c>
      <c r="C138"/>
    </row>
    <row r="139" spans="1:3">
      <c r="A139" s="100" t="s">
        <v>1746</v>
      </c>
      <c r="B139">
        <f>IF(ISNUMBER(1*C139),1*C139,0)</f>
      </c>
      <c r="C139"/>
    </row>
    <row r="140" spans="1:3">
      <c r="A140" s="100" t="s">
        <v>1747</v>
      </c>
      <c r="B140">
        <f>IF(ISNUMBER(1*C140),1*C140,0)</f>
      </c>
      <c r="C140"/>
    </row>
    <row r="141" spans="1:3">
      <c r="A141" s="100" t="s">
        <v>1748</v>
      </c>
      <c r="B141">
        <f>IF(ISNUMBER(1*C141),1*C141,0)</f>
      </c>
      <c r="C141"/>
    </row>
    <row r="142" spans="1:3">
      <c r="A142" s="100" t="s">
        <v>1016</v>
      </c>
      <c r="B142" t="str">
        <f>IF(LEFT(C142,1)="%","",C142)</f>
      </c>
      <c r="C142"/>
    </row>
    <row r="143" spans="1:3">
      <c r="A143" s="100" t="s">
        <v>1246</v>
      </c>
      <c r="B143" t="str">
        <f>IF(LEFT(C143,1)="%","",IF(LEFT(C143,3)="Nee","Nee",C143))</f>
      </c>
      <c r="C143"/>
    </row>
    <row r="144" spans="1:3">
      <c r="A144" s="100" t="s">
        <v>1248</v>
      </c>
      <c r="B144">
        <f>IF(OR(LEFT(C144,1)="%",C144=""),0,C144/100)</f>
      </c>
      <c r="C144"/>
    </row>
    <row r="145" spans="1:3">
      <c r="A145" s="100" t="s">
        <v>1250</v>
      </c>
      <c r="B145">
        <f>IF(LEFT(C145,1)="%",0,C145)</f>
      </c>
      <c r="C145"/>
    </row>
    <row r="146" spans="1:3">
      <c r="A146" s="100" t="s">
        <v>1252</v>
      </c>
      <c r="B146" t="str">
        <f>IF(LEFT(C146,1)="%","",C146)</f>
      </c>
      <c r="C146"/>
    </row>
    <row r="147" spans="1:3">
      <c r="A147" s="100" t="s">
        <v>1254</v>
      </c>
      <c r="B147">
        <f>IF(LEFT(C147,1)="%",0,C147)</f>
      </c>
      <c r="C147"/>
    </row>
    <row r="148" spans="1:3">
      <c r="A148" s="100" t="s">
        <v>1256</v>
      </c>
      <c r="B148">
        <f t="shared" ref="B148:B159" si="8">IF(ISNUMBER(1*C148),1*C148,0)</f>
      </c>
      <c r="C148"/>
    </row>
    <row r="149" spans="1:3">
      <c r="A149" s="100" t="s">
        <v>1258</v>
      </c>
      <c r="B149">
        <f t="shared" si="8"/>
      </c>
      <c r="C149"/>
    </row>
    <row r="150" spans="1:3">
      <c r="A150" s="100" t="s">
        <v>1260</v>
      </c>
      <c r="B150">
        <f t="shared" si="8"/>
      </c>
      <c r="C150"/>
    </row>
    <row r="151" spans="1:3">
      <c r="A151" s="100" t="s">
        <v>1262</v>
      </c>
      <c r="B151">
        <f t="shared" si="8"/>
      </c>
      <c r="C151"/>
    </row>
    <row r="152" spans="1:3">
      <c r="A152" s="100" t="s">
        <v>1264</v>
      </c>
      <c r="B152">
        <f t="shared" si="8"/>
      </c>
      <c r="C152"/>
    </row>
    <row r="153" spans="1:3">
      <c r="A153" s="100" t="s">
        <v>1266</v>
      </c>
      <c r="B153">
        <f t="shared" si="8"/>
      </c>
      <c r="C153"/>
    </row>
    <row r="154" spans="1:3">
      <c r="A154" s="100" t="s">
        <v>1268</v>
      </c>
      <c r="B154">
        <f t="shared" si="8"/>
      </c>
      <c r="C154"/>
    </row>
    <row r="155" spans="1:3">
      <c r="A155" s="100" t="s">
        <v>1270</v>
      </c>
      <c r="B155">
        <f t="shared" si="8"/>
      </c>
      <c r="C155"/>
    </row>
    <row r="156" spans="1:3">
      <c r="A156" s="100" t="s">
        <v>1272</v>
      </c>
      <c r="B156">
        <f t="shared" si="8"/>
      </c>
      <c r="C156"/>
    </row>
    <row r="157" spans="1:3">
      <c r="A157" s="100" t="s">
        <v>1274</v>
      </c>
      <c r="B157">
        <f t="shared" si="8"/>
      </c>
      <c r="C157"/>
    </row>
    <row r="158" spans="1:3">
      <c r="A158" s="100" t="s">
        <v>1276</v>
      </c>
      <c r="B158">
        <f t="shared" si="8"/>
      </c>
      <c r="C158"/>
    </row>
    <row r="159" spans="1:3">
      <c r="A159" s="100" t="s">
        <v>1278</v>
      </c>
      <c r="B159">
        <f t="shared" si="8"/>
      </c>
      <c r="C159"/>
    </row>
    <row r="160" spans="1:3">
      <c r="A160" s="100" t="s">
        <v>1773</v>
      </c>
      <c r="B160">
        <f t="shared" ref="B160:B183" si="9">IF(ISNUMBER(1*C160),1*C160,0)</f>
      </c>
      <c r="C160"/>
    </row>
    <row r="161" spans="1:3">
      <c r="A161" s="100" t="s">
        <v>1775</v>
      </c>
      <c r="B161">
        <f t="shared" si="9"/>
      </c>
      <c r="C161"/>
    </row>
    <row r="162" spans="1:3">
      <c r="A162" s="100" t="s">
        <v>1777</v>
      </c>
      <c r="B162">
        <f t="shared" si="9"/>
      </c>
      <c r="C162"/>
    </row>
    <row r="163" spans="1:3">
      <c r="A163" s="100" t="s">
        <v>1779</v>
      </c>
      <c r="B163">
        <f t="shared" si="9"/>
      </c>
      <c r="C163"/>
    </row>
    <row r="164" spans="1:3">
      <c r="A164" s="100" t="s">
        <v>1781</v>
      </c>
      <c r="B164">
        <f t="shared" si="9"/>
      </c>
      <c r="C164"/>
    </row>
    <row r="165" spans="1:3">
      <c r="A165" s="100" t="s">
        <v>1783</v>
      </c>
      <c r="B165">
        <f t="shared" si="9"/>
      </c>
      <c r="C165"/>
    </row>
    <row r="166" spans="1:3">
      <c r="A166" s="100" t="s">
        <v>1785</v>
      </c>
      <c r="B166">
        <f t="shared" si="9"/>
      </c>
      <c r="C166"/>
    </row>
    <row r="167" spans="1:3">
      <c r="A167" s="100" t="s">
        <v>1787</v>
      </c>
      <c r="B167">
        <f t="shared" si="9"/>
      </c>
      <c r="C167"/>
    </row>
    <row r="168" spans="1:3">
      <c r="A168" s="100" t="s">
        <v>1789</v>
      </c>
      <c r="B168">
        <f t="shared" si="9"/>
      </c>
      <c r="C168"/>
    </row>
    <row r="169" spans="1:3">
      <c r="A169" s="100" t="s">
        <v>1791</v>
      </c>
      <c r="B169">
        <f t="shared" si="9"/>
      </c>
      <c r="C169"/>
    </row>
    <row r="170" spans="1:3">
      <c r="A170" s="100" t="s">
        <v>1793</v>
      </c>
      <c r="B170">
        <f t="shared" si="9"/>
      </c>
      <c r="C170"/>
    </row>
    <row r="171" spans="1:3">
      <c r="A171" s="100" t="s">
        <v>1795</v>
      </c>
      <c r="B171">
        <f t="shared" si="9"/>
      </c>
      <c r="C171"/>
    </row>
    <row r="172" spans="1:3">
      <c r="A172" s="100" t="s">
        <v>1797</v>
      </c>
      <c r="B172">
        <f t="shared" si="9"/>
      </c>
      <c r="C172"/>
    </row>
    <row r="173" spans="1:3">
      <c r="A173" s="100" t="s">
        <v>1799</v>
      </c>
      <c r="B173">
        <f t="shared" si="9"/>
      </c>
      <c r="C173"/>
    </row>
    <row r="174" spans="1:3">
      <c r="A174" s="100" t="s">
        <v>1801</v>
      </c>
      <c r="B174">
        <f t="shared" si="9"/>
      </c>
      <c r="C174"/>
    </row>
    <row r="175" spans="1:3">
      <c r="A175" s="100" t="s">
        <v>1803</v>
      </c>
      <c r="B175">
        <f t="shared" si="9"/>
      </c>
      <c r="C175"/>
    </row>
    <row r="176" spans="1:3">
      <c r="A176" s="100" t="s">
        <v>1805</v>
      </c>
      <c r="B176">
        <f t="shared" si="9"/>
      </c>
      <c r="C176"/>
    </row>
    <row r="177" spans="1:3">
      <c r="A177" s="100" t="s">
        <v>1807</v>
      </c>
      <c r="B177">
        <f t="shared" si="9"/>
      </c>
      <c r="C177"/>
    </row>
    <row r="178" spans="1:3">
      <c r="A178" s="100" t="s">
        <v>1809</v>
      </c>
      <c r="B178">
        <f t="shared" si="9"/>
      </c>
      <c r="C178"/>
    </row>
    <row r="179" spans="1:3">
      <c r="A179" s="100" t="s">
        <v>1811</v>
      </c>
      <c r="B179">
        <f t="shared" si="9"/>
      </c>
      <c r="C179"/>
    </row>
    <row r="180" spans="1:3">
      <c r="A180" s="100" t="s">
        <v>1813</v>
      </c>
      <c r="B180">
        <f t="shared" si="9"/>
      </c>
      <c r="C180"/>
    </row>
    <row r="181" spans="1:3">
      <c r="A181" s="100" t="s">
        <v>1815</v>
      </c>
      <c r="B181">
        <f t="shared" si="9"/>
      </c>
      <c r="C181"/>
    </row>
    <row r="182" spans="1:3">
      <c r="A182" s="100" t="s">
        <v>1817</v>
      </c>
      <c r="B182">
        <f t="shared" si="9"/>
      </c>
      <c r="C182"/>
    </row>
    <row r="183" spans="1:3">
      <c r="A183" s="100" t="s">
        <v>1819</v>
      </c>
      <c r="B183">
        <f t="shared" si="9"/>
      </c>
      <c r="C183"/>
    </row>
    <row r="184" spans="1:3">
      <c r="A184" s="100" t="s">
        <v>1016</v>
      </c>
      <c r="B184" t="str">
        <f>IF(LEFT(C184,1)="%","",C184)</f>
      </c>
      <c r="C184"/>
    </row>
    <row r="185" spans="1:3">
      <c r="A185" s="100" t="s">
        <v>1281</v>
      </c>
    </row>
    <row r="186" spans="1:3">
      <c r="A186" s="100" t="s">
        <v>1282</v>
      </c>
      <c r="B186" t="str">
        <f t="shared" ref="B186:B195" si="10">IF(LEFT(C186,1)="%","",C186)</f>
      </c>
      <c r="C186"/>
    </row>
    <row r="187" spans="1:3">
      <c r="A187" s="100" t="s">
        <v>1284</v>
      </c>
      <c r="B187" t="str">
        <f t="shared" si="10"/>
      </c>
      <c r="C187"/>
    </row>
    <row r="188" spans="1:3">
      <c r="A188" s="100" t="s">
        <v>1286</v>
      </c>
      <c r="B188" t="str">
        <f t="shared" si="10"/>
      </c>
      <c r="C188"/>
    </row>
    <row r="189" spans="1:3">
      <c r="A189" s="100" t="s">
        <v>1288</v>
      </c>
      <c r="B189" t="str">
        <f t="shared" si="10"/>
      </c>
      <c r="C189"/>
    </row>
    <row r="190" spans="1:3">
      <c r="A190" s="100" t="s">
        <v>1290</v>
      </c>
      <c r="B190" t="str">
        <f t="shared" si="10"/>
      </c>
      <c r="C190"/>
    </row>
    <row r="191" spans="1:3">
      <c r="A191" s="100" t="s">
        <v>1292</v>
      </c>
      <c r="B191" t="str">
        <f t="shared" si="10"/>
      </c>
      <c r="C191"/>
    </row>
    <row r="192" spans="1:3">
      <c r="A192" s="100" t="s">
        <v>1294</v>
      </c>
      <c r="B192" t="str">
        <f t="shared" si="10"/>
      </c>
      <c r="C192"/>
    </row>
    <row r="193" spans="1:3">
      <c r="A193" s="100" t="s">
        <v>1296</v>
      </c>
      <c r="B193" t="str">
        <f t="shared" si="10"/>
      </c>
      <c r="C193"/>
    </row>
    <row r="194" spans="1:3">
      <c r="A194" s="100" t="s">
        <v>1298</v>
      </c>
      <c r="B194" t="str">
        <f t="shared" si="10"/>
      </c>
      <c r="C194"/>
    </row>
    <row r="195" spans="1:3">
      <c r="A195" s="100" t="s">
        <v>1300</v>
      </c>
      <c r="B195" t="str">
        <f t="shared" si="10"/>
      </c>
      <c r="C195"/>
    </row>
    <row r="196" spans="1:3">
      <c r="A196" s="100" t="s">
        <v>1302</v>
      </c>
      <c r="B196">
        <f>IF(ISNUMBER(1*C196),1*C196,0)</f>
      </c>
      <c r="C196"/>
    </row>
    <row r="197" spans="1:3">
      <c r="A197" s="100" t="s">
        <v>1304</v>
      </c>
      <c r="B197" t="str">
        <f>IF(LEFT(C197,1)="%","",VALUE(LEFT(C197,IF(LEN(C197)=6,1,2))))</f>
      </c>
      <c r="C197"/>
    </row>
    <row r="198" spans="1:3">
      <c r="A198" s="100" t="s">
        <v>1306</v>
      </c>
      <c r="B198" t="str">
        <f>IF(LEFT(C198,1)="%","",VALUE(RIGHT(C198,IF(LEN(C198)=7,1,2))))</f>
      </c>
      <c r="C198"/>
    </row>
    <row r="199" spans="1:3">
      <c r="A199" t="s">
        <v>1307</v>
      </c>
      <c r="B199">
        <f>IF(ISNUMBER(1*C199),1*C199,0)</f>
      </c>
      <c r="C199"/>
    </row>
    <row r="200" spans="1:3">
      <c r="A200" t="s">
        <v>1309</v>
      </c>
      <c r="B200">
        <f>IF(ISNUMBER(1*C200),1*C200,0)</f>
      </c>
      <c r="C200"/>
    </row>
    <row r="201" spans="1:3">
      <c r="A201" s="100" t="s">
        <v>1311</v>
      </c>
      <c r="B201">
        <f>IF(ISNUMBER(1*C201),1*C201,0)</f>
      </c>
      <c r="C201"/>
    </row>
    <row r="202" spans="1:3">
      <c r="A202" s="100" t="s">
        <v>1313</v>
      </c>
      <c r="B202">
        <f>IF(ISNUMBER(1*C202),1*C202,0)</f>
      </c>
      <c r="C202"/>
    </row>
    <row r="203" spans="1:3">
      <c r="A203" s="100" t="s">
        <v>1834</v>
      </c>
      <c r="B203">
        <f>IF(ISNUMBER(1*C203),1*C203,0)</f>
      </c>
      <c r="C203"/>
    </row>
  </sheetData>
  <sheetProtection algorithmName="SHA-512" hashValue="h7Dv5NrybPY5XywMZfzYZ0srnbcQNMdqC9YHkDWsppzAj+4N6V2XGXIAjmJFqT8JCZdbVr9SnR0tNOToV1JpUA==" saltValue="j3EvRSnwJvpdq5AhTctarw==" spinCount="100000" sheet="1" objects="1" scenarios="1"/>
  <phoneticPr fontId="5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78E6B882FA864E9419F9CFAC674310" ma:contentTypeVersion="10" ma:contentTypeDescription="Een nieuw document maken." ma:contentTypeScope="" ma:versionID="a47eb9d9abdd356799f50e16ac741d94">
  <xsd:schema xmlns:xsd="http://www.w3.org/2001/XMLSchema" xmlns:xs="http://www.w3.org/2001/XMLSchema" xmlns:p="http://schemas.microsoft.com/office/2006/metadata/properties" xmlns:ns2="e91dead7-fb7e-4be5-bdd3-7d54b5c756b9" xmlns:ns3="36589b95-514b-41ff-be61-afc861c9d6a2" targetNamespace="http://schemas.microsoft.com/office/2006/metadata/properties" ma:root="true" ma:fieldsID="65b3eb06bb8c7cc411e3db7af73242b4" ns2:_="" ns3:_="">
    <xsd:import namespace="e91dead7-fb7e-4be5-bdd3-7d54b5c756b9"/>
    <xsd:import namespace="36589b95-514b-41ff-be61-afc861c9d6a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1dead7-fb7e-4be5-bdd3-7d54b5c756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89b95-514b-41ff-be61-afc861c9d6a2"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6589b95-514b-41ff-be61-afc861c9d6a2">
      <UserInfo>
        <DisplayName>Evelyne Oprel</DisplayName>
        <AccountId>84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E51C42-BCD7-46B2-B224-12EEF7DAE541}"/>
</file>

<file path=customXml/itemProps2.xml><?xml version="1.0" encoding="utf-8"?>
<ds:datastoreItem xmlns:ds="http://schemas.openxmlformats.org/officeDocument/2006/customXml" ds:itemID="{3123C96B-D914-4E8D-A4DA-ACFC76121B78}">
  <ds:schemaRefs>
    <ds:schemaRef ds:uri="36589b95-514b-41ff-be61-afc861c9d6a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91dead7-fb7e-4be5-bdd3-7d54b5c756b9"/>
    <ds:schemaRef ds:uri="http://www.w3.org/XML/1998/namespace"/>
    <ds:schemaRef ds:uri="http://purl.org/dc/dcmitype/"/>
  </ds:schemaRefs>
</ds:datastoreItem>
</file>

<file path=customXml/itemProps3.xml><?xml version="1.0" encoding="utf-8"?>
<ds:datastoreItem xmlns:ds="http://schemas.openxmlformats.org/officeDocument/2006/customXml" ds:itemID="{E9E5F004-F6E2-49D0-B315-229820C3F7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22</vt:i4>
      </vt:variant>
    </vt:vector>
  </HeadingPairs>
  <TitlesOfParts>
    <vt:vector size="33" baseType="lpstr">
      <vt:lpstr>Introduzione</vt:lpstr>
      <vt:lpstr>Le mie risposte</vt:lpstr>
      <vt:lpstr>Previsione di investimento</vt:lpstr>
      <vt:lpstr>Previsione di liquidità</vt:lpstr>
      <vt:lpstr>Previsione di gestione</vt:lpstr>
      <vt:lpstr>Oneri mensili</vt:lpstr>
      <vt:lpstr>Vertaling</vt:lpstr>
      <vt:lpstr>Schema</vt:lpstr>
      <vt:lpstr>DATA</vt:lpstr>
      <vt:lpstr>dropdowns</vt:lpstr>
      <vt:lpstr>IB</vt:lpstr>
      <vt:lpstr>Introduzione!Afdrukbereik</vt:lpstr>
      <vt:lpstr>'Le mie risposte'!Afdrukbereik</vt:lpstr>
      <vt:lpstr>'Oneri mensili'!Afdrukbereik</vt:lpstr>
      <vt:lpstr>'Previsione di gestione'!Afdrukbereik</vt:lpstr>
      <vt:lpstr>'Previsione di investimento'!Afdrukbereik</vt:lpstr>
      <vt:lpstr>'Previsione di liquidità'!Afdrukbereik</vt:lpstr>
      <vt:lpstr>'Le mie risposte'!Afdruktitels</vt:lpstr>
      <vt:lpstr>'Oneri mensili'!Afdruktitels</vt:lpstr>
      <vt:lpstr>Aflosmethode</vt:lpstr>
      <vt:lpstr>Betalen</vt:lpstr>
      <vt:lpstr>BTW</vt:lpstr>
      <vt:lpstr>Graceperiod</vt:lpstr>
      <vt:lpstr>Inbreng</vt:lpstr>
      <vt:lpstr>Ja_Nee</vt:lpstr>
      <vt:lpstr>Looptijd</vt:lpstr>
      <vt:lpstr>Maanden6</vt:lpstr>
      <vt:lpstr>Meewerkaftrek</vt:lpstr>
      <vt:lpstr>Ondernemers</vt:lpstr>
      <vt:lpstr>Periodiek</vt:lpstr>
      <vt:lpstr>Periodiek2</vt:lpstr>
      <vt:lpstr>Rechtsvorm</vt:lpstr>
      <vt:lpstr>Uitkering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a.wassink</dc:creator>
  <cp:keywords/>
  <dc:description/>
  <cp:lastModifiedBy>Nathanael Engberts</cp:lastModifiedBy>
  <cp:revision/>
  <dcterms:created xsi:type="dcterms:W3CDTF">2012-08-24T09:29:24Z</dcterms:created>
  <dcterms:modified xsi:type="dcterms:W3CDTF">2019-10-17T14:42:37Z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0x0101006B78E6B882FA864E9419F9CFAC674310</vt:lpwstr>
  </property>
  <property fmtid="{D5CDD505-2E9C-101B-9397-08002B2CF9AE}" pid="3" name="Order">
    <vt:r8>100</vt:r8>
  </property>
  <property fmtid="{D5CDD505-2E9C-101B-9397-08002B2CF9AE}" pid="4" name="AuthorIds_UIVersion_2048">
    <vt:lpwstr>16</vt:lpwstr>
  </property>
  <property fmtid="{D5CDD505-2E9C-101B-9397-08002B2CF9AE}" pid="5" name="AuthorIds_UIVersion_1536">
    <vt:lpwstr>84</vt:lpwstr>
  </property>
</Properties>
</file>